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riosa\OneDrive - Secretaría de Finanzas y Administración del Gobierno de Michoacán\Documentos\Ejercicio 2023\5. Cuenta Pública 2022\Cuenta Pública 2022\Tomo VII - Entidades Paraestatales\"/>
    </mc:Choice>
  </mc:AlternateContent>
  <bookViews>
    <workbookView xWindow="-120" yWindow="-120" windowWidth="21840" windowHeight="13740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4" l="1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C2" i="4"/>
  <c r="B2" i="4"/>
  <c r="A2" i="4"/>
  <c r="C1" i="4"/>
  <c r="B1" i="4"/>
  <c r="B1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C2" i="3"/>
  <c r="B2" i="3"/>
  <c r="A2" i="3"/>
  <c r="C1" i="3"/>
  <c r="I49" i="1" l="1"/>
  <c r="H37" i="1" l="1"/>
  <c r="H42" i="1"/>
  <c r="H53" i="1" s="1"/>
  <c r="I42" i="1"/>
  <c r="I53" i="1" s="1"/>
  <c r="I37" i="1"/>
  <c r="I32" i="1"/>
  <c r="H32" i="1"/>
  <c r="I21" i="1"/>
  <c r="H21" i="1"/>
  <c r="E33" i="1"/>
  <c r="D33" i="1"/>
  <c r="E20" i="1"/>
  <c r="D20" i="1"/>
  <c r="I34" i="1" l="1"/>
  <c r="D34" i="1"/>
  <c r="E34" i="1"/>
  <c r="I55" i="1" l="1"/>
  <c r="H49" i="1"/>
  <c r="H34" i="1" l="1"/>
  <c r="H55" i="1" s="1"/>
</calcChain>
</file>

<file path=xl/sharedStrings.xml><?xml version="1.0" encoding="utf-8"?>
<sst xmlns="http://schemas.openxmlformats.org/spreadsheetml/2006/main" count="95" uniqueCount="63">
  <si>
    <t>A      C      T      I      V      O</t>
  </si>
  <si>
    <t>GOBIERNO DEL ESTADO DE MICHOACAN DE OCAMPO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</si>
  <si>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</si>
  <si>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</si>
  <si>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</si>
  <si>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</si>
  <si>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</si>
  <si>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</si>
  <si>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</si>
  <si>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</si>
  <si>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</si>
  <si>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</si>
  <si>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</si>
  <si>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</si>
  <si>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</si>
  <si>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</si>
  <si>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</si>
  <si>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</si>
  <si>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</si>
  <si>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</si>
  <si>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</si>
  <si>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</si>
  <si>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</si>
  <si>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</si>
  <si>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</si>
  <si>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</si>
  <si>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</si>
  <si>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</si>
  <si>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</si>
  <si>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</si>
  <si>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</si>
  <si>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</si>
  <si>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</si>
  <si>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</si>
  <si>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</si>
  <si>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</si>
  <si>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</si>
  <si>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</si>
  <si>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</si>
  <si>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</si>
  <si>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</si>
  <si>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</si>
  <si>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</si>
  <si>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</si>
  <si>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</si>
  <si>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</si>
  <si>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</si>
  <si>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</si>
  <si>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</si>
  <si>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</si>
  <si>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</si>
  <si>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</si>
  <si>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</si>
  <si>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</si>
  <si>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</si>
  <si>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</si>
  <si>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</si>
  <si>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</si>
  <si>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</si>
  <si>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</si>
  <si>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P A S I V O</t>
  </si>
  <si>
    <t xml:space="preserve">AL  31  DE DICIEMBRE DEL 2022 Y DEL  2021  </t>
  </si>
  <si>
    <t>ESTADO  DE  SITUACION  FINANCIERA CONSOLIDADO ENTIDADES PARAESTATALES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</si>
</sst>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#,##0.00;\-\ #,##0.00"/>
    <numFmt numFmtId="165" formatCode="#,##0.0000000"/>
    <numFmt numFmtId="166" formatCode="#,##0.0000000;\-\ #,##0.0000000"/>
    <numFmt numFmtId="167" formatCode="0_ ;\-0\ "/>
    <numFmt numFmtId="168" formatCode="#,##0_ ;\-#,##0\ "/>
    <numFmt numFmtId="169" formatCode="#,##0_);\(#,##0\)"/>
    <numFmt numFmtId="170" formatCode="_(* #,##0_);_(* \(#,##0\);_(* &quot;-&quot;??_);_(@_)"/>
    <numFmt numFmtId="171" formatCode="#,##0_ ;[Red]\-#,##0\ "/>
    <numFmt numFmtId="172" formatCode="_-* #,##0_-;\-* #,##0_-;_-* &quot;-&quot;??_-;_-@_-"/>
  </numFmts>
  <fonts count="38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</cellStyleXfs>
  <cellXfs count="129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" fontId="0" fillId="0" borderId="0" xfId="0" applyNumberFormat="1"/>
    <xf numFmtId="4" fontId="16" fillId="20" borderId="9" xfId="51" applyNumberFormat="1">
      <alignment horizontal="right" vertical="center"/>
    </xf>
    <xf numFmtId="164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0" fontId="0" fillId="0" borderId="0" xfId="0" applyAlignment="1">
      <alignment horizontal="left"/>
    </xf>
    <xf numFmtId="14" fontId="0" fillId="0" borderId="0" xfId="0" applyNumberFormat="1"/>
    <xf numFmtId="165" fontId="16" fillId="20" borderId="9" xfId="51" applyNumberFormat="1">
      <alignment horizontal="right" vertical="center"/>
    </xf>
    <xf numFmtId="166" fontId="16" fillId="20" borderId="9" xfId="51" applyNumberFormat="1">
      <alignment horizontal="right" vertical="center"/>
    </xf>
    <xf numFmtId="0" fontId="28" fillId="0" borderId="0" xfId="0" applyFont="1"/>
    <xf numFmtId="0" fontId="34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33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33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6" borderId="0" xfId="0" applyFont="1" applyFill="1" applyAlignment="1">
      <alignment horizontal="centerContinuous" vertical="center" wrapText="1"/>
    </xf>
    <xf numFmtId="0" fontId="33" fillId="26" borderId="0" xfId="0" applyFont="1" applyFill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72" fontId="0" fillId="0" borderId="0" xfId="0" applyNumberFormat="1"/>
    <xf numFmtId="0" fontId="31" fillId="0" borderId="20" xfId="0" applyFont="1" applyBorder="1" applyAlignment="1">
      <alignment horizontal="left" indent="1"/>
    </xf>
    <xf numFmtId="0" fontId="31" fillId="0" borderId="21" xfId="0" applyFont="1" applyBorder="1" applyAlignment="1">
      <alignment wrapText="1"/>
    </xf>
    <xf numFmtId="0" fontId="31" fillId="0" borderId="22" xfId="0" applyFont="1" applyBorder="1" applyAlignment="1">
      <alignment wrapText="1"/>
    </xf>
    <xf numFmtId="0" fontId="33" fillId="0" borderId="23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1" fillId="0" borderId="22" xfId="0" applyFont="1" applyBorder="1"/>
    <xf numFmtId="0" fontId="33" fillId="0" borderId="23" xfId="0" applyFont="1" applyBorder="1"/>
    <xf numFmtId="0" fontId="30" fillId="0" borderId="1" xfId="0" applyFont="1" applyBorder="1" applyAlignment="1">
      <alignment horizontal="left" indent="1"/>
    </xf>
    <xf numFmtId="0" fontId="31" fillId="0" borderId="24" xfId="0" applyFont="1" applyBorder="1" applyAlignment="1">
      <alignment wrapText="1"/>
    </xf>
    <xf numFmtId="0" fontId="33" fillId="0" borderId="25" xfId="0" applyFont="1" applyBorder="1" applyAlignment="1">
      <alignment wrapText="1"/>
    </xf>
    <xf numFmtId="0" fontId="31" fillId="0" borderId="24" xfId="0" applyFont="1" applyBorder="1"/>
    <xf numFmtId="0" fontId="33" fillId="0" borderId="25" xfId="0" applyFont="1" applyBorder="1"/>
    <xf numFmtId="0" fontId="31" fillId="0" borderId="1" xfId="0" applyFont="1" applyBorder="1" applyAlignment="1">
      <alignment horizontal="left" indent="1"/>
    </xf>
    <xf numFmtId="168" fontId="32" fillId="0" borderId="24" xfId="58" applyNumberFormat="1" applyFont="1" applyFill="1" applyBorder="1" applyAlignment="1">
      <alignment wrapText="1"/>
    </xf>
    <xf numFmtId="168" fontId="32" fillId="0" borderId="25" xfId="58" applyNumberFormat="1" applyFont="1" applyFill="1" applyBorder="1" applyAlignment="1">
      <alignment wrapText="1"/>
    </xf>
    <xf numFmtId="168" fontId="32" fillId="0" borderId="0" xfId="58" applyNumberFormat="1" applyFont="1" applyFill="1" applyBorder="1" applyAlignment="1">
      <alignment wrapText="1"/>
    </xf>
    <xf numFmtId="169" fontId="33" fillId="0" borderId="24" xfId="58" applyNumberFormat="1" applyFont="1" applyFill="1" applyBorder="1"/>
    <xf numFmtId="169" fontId="33" fillId="0" borderId="25" xfId="58" applyNumberFormat="1" applyFont="1" applyFill="1" applyBorder="1"/>
    <xf numFmtId="168" fontId="33" fillId="0" borderId="24" xfId="58" applyNumberFormat="1" applyFont="1" applyFill="1" applyBorder="1" applyAlignment="1">
      <alignment wrapText="1"/>
    </xf>
    <xf numFmtId="168" fontId="33" fillId="0" borderId="25" xfId="58" applyNumberFormat="1" applyFont="1" applyFill="1" applyBorder="1" applyAlignment="1">
      <alignment wrapText="1"/>
    </xf>
    <xf numFmtId="168" fontId="33" fillId="0" borderId="0" xfId="58" applyNumberFormat="1" applyFont="1" applyFill="1" applyBorder="1" applyAlignment="1">
      <alignment wrapText="1"/>
    </xf>
    <xf numFmtId="170" fontId="33" fillId="0" borderId="0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vertical="center" wrapText="1" indent="1"/>
    </xf>
    <xf numFmtId="170" fontId="33" fillId="0" borderId="0" xfId="58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indent="1"/>
    </xf>
    <xf numFmtId="170" fontId="33" fillId="0" borderId="24" xfId="58" applyNumberFormat="1" applyFont="1" applyFill="1" applyBorder="1" applyAlignment="1">
      <alignment wrapText="1"/>
    </xf>
    <xf numFmtId="3" fontId="33" fillId="0" borderId="25" xfId="58" applyNumberFormat="1" applyFont="1" applyFill="1" applyBorder="1" applyAlignment="1">
      <alignment wrapText="1"/>
    </xf>
    <xf numFmtId="3" fontId="33" fillId="0" borderId="0" xfId="58" applyNumberFormat="1" applyFont="1" applyFill="1" applyBorder="1" applyAlignment="1">
      <alignment wrapText="1"/>
    </xf>
    <xf numFmtId="0" fontId="32" fillId="0" borderId="24" xfId="0" applyFont="1" applyBorder="1" applyAlignment="1">
      <alignment wrapText="1"/>
    </xf>
    <xf numFmtId="0" fontId="32" fillId="0" borderId="25" xfId="0" applyFont="1" applyBorder="1" applyAlignment="1">
      <alignment wrapText="1"/>
    </xf>
    <xf numFmtId="170" fontId="32" fillId="0" borderId="0" xfId="58" applyNumberFormat="1" applyFont="1" applyFill="1" applyBorder="1" applyAlignment="1">
      <alignment wrapText="1"/>
    </xf>
    <xf numFmtId="170" fontId="32" fillId="0" borderId="24" xfId="58" applyNumberFormat="1" applyFont="1" applyFill="1" applyBorder="1" applyAlignment="1">
      <alignment wrapText="1"/>
    </xf>
    <xf numFmtId="170" fontId="32" fillId="0" borderId="25" xfId="58" applyNumberFormat="1" applyFont="1" applyFill="1" applyBorder="1" applyAlignment="1">
      <alignment wrapText="1"/>
    </xf>
    <xf numFmtId="169" fontId="32" fillId="0" borderId="24" xfId="58" applyNumberFormat="1" applyFont="1" applyFill="1" applyBorder="1"/>
    <xf numFmtId="169" fontId="32" fillId="0" borderId="25" xfId="58" applyNumberFormat="1" applyFont="1" applyFill="1" applyBorder="1"/>
    <xf numFmtId="0" fontId="32" fillId="0" borderId="25" xfId="0" applyFont="1" applyBorder="1" applyAlignment="1">
      <alignment horizontal="left" wrapText="1"/>
    </xf>
    <xf numFmtId="0" fontId="33" fillId="0" borderId="24" xfId="0" applyFont="1" applyBorder="1"/>
    <xf numFmtId="170" fontId="33" fillId="0" borderId="25" xfId="58" applyNumberFormat="1" applyFont="1" applyFill="1" applyBorder="1"/>
    <xf numFmtId="0" fontId="31" fillId="0" borderId="1" xfId="0" applyFont="1" applyBorder="1" applyAlignment="1">
      <alignment horizontal="left" wrapText="1" indent="1"/>
    </xf>
    <xf numFmtId="172" fontId="33" fillId="0" borderId="24" xfId="58" applyNumberFormat="1" applyFont="1" applyFill="1" applyBorder="1" applyAlignment="1">
      <alignment horizontal="right"/>
    </xf>
    <xf numFmtId="172" fontId="33" fillId="0" borderId="25" xfId="58" applyNumberFormat="1" applyFont="1" applyFill="1" applyBorder="1" applyAlignment="1">
      <alignment horizontal="right"/>
    </xf>
    <xf numFmtId="169" fontId="33" fillId="0" borderId="24" xfId="58" applyNumberFormat="1" applyFont="1" applyFill="1" applyBorder="1" applyAlignment="1">
      <alignment wrapText="1"/>
    </xf>
    <xf numFmtId="169" fontId="33" fillId="0" borderId="25" xfId="58" applyNumberFormat="1" applyFont="1" applyFill="1" applyBorder="1" applyAlignment="1">
      <alignment wrapText="1"/>
    </xf>
    <xf numFmtId="169" fontId="33" fillId="0" borderId="0" xfId="58" applyNumberFormat="1" applyFont="1" applyFill="1" applyBorder="1" applyAlignment="1">
      <alignment wrapText="1"/>
    </xf>
    <xf numFmtId="0" fontId="32" fillId="0" borderId="26" xfId="0" applyFont="1" applyBorder="1" applyAlignment="1">
      <alignment wrapText="1"/>
    </xf>
    <xf numFmtId="172" fontId="32" fillId="0" borderId="24" xfId="58" applyNumberFormat="1" applyFont="1" applyFill="1" applyBorder="1" applyAlignment="1">
      <alignment horizontal="left" wrapText="1"/>
    </xf>
    <xf numFmtId="172" fontId="32" fillId="0" borderId="25" xfId="58" applyNumberFormat="1" applyFont="1" applyFill="1" applyBorder="1" applyAlignment="1">
      <alignment horizontal="left" wrapText="1"/>
    </xf>
    <xf numFmtId="0" fontId="32" fillId="0" borderId="24" xfId="0" applyFont="1" applyBorder="1"/>
    <xf numFmtId="0" fontId="32" fillId="0" borderId="25" xfId="0" applyFont="1" applyBorder="1"/>
    <xf numFmtId="172" fontId="32" fillId="0" borderId="27" xfId="58" applyNumberFormat="1" applyFont="1" applyFill="1" applyBorder="1" applyAlignment="1">
      <alignment wrapText="1"/>
    </xf>
    <xf numFmtId="172" fontId="32" fillId="0" borderId="28" xfId="58" applyNumberFormat="1" applyFont="1" applyFill="1" applyBorder="1" applyAlignment="1">
      <alignment wrapText="1"/>
    </xf>
    <xf numFmtId="172" fontId="32" fillId="0" borderId="0" xfId="58" applyNumberFormat="1" applyFont="1" applyFill="1" applyBorder="1" applyAlignment="1">
      <alignment wrapText="1"/>
    </xf>
    <xf numFmtId="0" fontId="32" fillId="0" borderId="24" xfId="0" applyFont="1" applyBorder="1" applyAlignment="1">
      <alignment horizontal="left" wrapText="1"/>
    </xf>
    <xf numFmtId="170" fontId="33" fillId="0" borderId="25" xfId="58" applyNumberFormat="1" applyFont="1" applyFill="1" applyBorder="1" applyAlignment="1">
      <alignment wrapText="1"/>
    </xf>
    <xf numFmtId="172" fontId="32" fillId="0" borderId="24" xfId="58" applyNumberFormat="1" applyFont="1" applyFill="1" applyBorder="1"/>
    <xf numFmtId="3" fontId="32" fillId="0" borderId="25" xfId="58" applyNumberFormat="1" applyFont="1" applyFill="1" applyBorder="1"/>
    <xf numFmtId="172" fontId="33" fillId="0" borderId="24" xfId="58" applyNumberFormat="1" applyFont="1" applyFill="1" applyBorder="1"/>
    <xf numFmtId="170" fontId="33" fillId="0" borderId="31" xfId="58" applyNumberFormat="1" applyFont="1" applyFill="1" applyBorder="1" applyAlignment="1">
      <alignment wrapText="1"/>
    </xf>
    <xf numFmtId="0" fontId="32" fillId="0" borderId="24" xfId="0" applyFont="1" applyBorder="1" applyAlignment="1">
      <alignment horizontal="right" wrapText="1"/>
    </xf>
    <xf numFmtId="0" fontId="33" fillId="0" borderId="26" xfId="0" applyFont="1" applyBorder="1" applyAlignment="1">
      <alignment wrapText="1"/>
    </xf>
    <xf numFmtId="0" fontId="33" fillId="0" borderId="24" xfId="0" applyFont="1" applyBorder="1" applyAlignment="1">
      <alignment wrapText="1"/>
    </xf>
    <xf numFmtId="172" fontId="32" fillId="0" borderId="27" xfId="58" applyNumberFormat="1" applyFont="1" applyFill="1" applyBorder="1"/>
    <xf numFmtId="172" fontId="32" fillId="0" borderId="28" xfId="58" applyNumberFormat="1" applyFont="1" applyFill="1" applyBorder="1"/>
    <xf numFmtId="170" fontId="31" fillId="0" borderId="0" xfId="58" applyNumberFormat="1" applyFont="1" applyFill="1" applyBorder="1" applyAlignment="1">
      <alignment wrapText="1"/>
    </xf>
    <xf numFmtId="0" fontId="31" fillId="0" borderId="2" xfId="0" applyFont="1" applyBorder="1"/>
    <xf numFmtId="0" fontId="30" fillId="0" borderId="15" xfId="0" applyFont="1" applyBorder="1" applyAlignment="1">
      <alignment horizontal="right" wrapText="1"/>
    </xf>
    <xf numFmtId="0" fontId="32" fillId="0" borderId="29" xfId="0" applyFont="1" applyBorder="1" applyAlignment="1">
      <alignment horizontal="right" wrapText="1"/>
    </xf>
    <xf numFmtId="0" fontId="33" fillId="0" borderId="30" xfId="0" applyFont="1" applyBorder="1" applyAlignment="1">
      <alignment wrapText="1"/>
    </xf>
    <xf numFmtId="0" fontId="33" fillId="0" borderId="15" xfId="0" applyFont="1" applyBorder="1" applyAlignment="1">
      <alignment wrapText="1"/>
    </xf>
    <xf numFmtId="0" fontId="32" fillId="0" borderId="29" xfId="0" applyFont="1" applyBorder="1" applyAlignment="1">
      <alignment horizontal="right"/>
    </xf>
    <xf numFmtId="0" fontId="33" fillId="0" borderId="30" xfId="0" applyFont="1" applyBorder="1"/>
    <xf numFmtId="0" fontId="35" fillId="27" borderId="17" xfId="0" applyFont="1" applyFill="1" applyBorder="1" applyAlignment="1">
      <alignment horizontal="centerContinuous" vertical="center"/>
    </xf>
    <xf numFmtId="0" fontId="36" fillId="27" borderId="16" xfId="0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 wrapText="1"/>
    </xf>
    <xf numFmtId="167" fontId="37" fillId="27" borderId="19" xfId="0" applyNumberFormat="1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/>
    </xf>
    <xf numFmtId="167" fontId="37" fillId="27" borderId="19" xfId="0" applyNumberFormat="1" applyFont="1" applyFill="1" applyBorder="1" applyAlignment="1">
      <alignment horizontal="centerContinuous" vertical="center"/>
    </xf>
    <xf numFmtId="0" fontId="31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171" fontId="32" fillId="0" borderId="0" xfId="0" applyNumberFormat="1" applyFont="1" applyAlignment="1">
      <alignment wrapText="1"/>
    </xf>
    <xf numFmtId="0" fontId="30" fillId="0" borderId="0" xfId="0" applyFont="1" applyAlignment="1">
      <alignment horizontal="left" wrapText="1"/>
    </xf>
    <xf numFmtId="171" fontId="33" fillId="0" borderId="0" xfId="0" applyNumberFormat="1" applyFont="1" applyAlignment="1">
      <alignment wrapText="1"/>
    </xf>
    <xf numFmtId="0" fontId="30" fillId="0" borderId="0" xfId="0" applyFont="1" applyAlignment="1">
      <alignment horizontal="right" wrapText="1"/>
    </xf>
    <xf numFmtId="168" fontId="0" fillId="0" borderId="0" xfId="0" applyNumberFormat="1"/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Border="1"/>
    <xf numFmtId="0" fontId="33" fillId="26" borderId="0" xfId="0" applyFont="1" applyFill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67" fontId="37" fillId="27" borderId="16" xfId="0" applyNumberFormat="1" applyFont="1" applyFill="1" applyBorder="1" applyAlignment="1">
      <alignment horizontal="center" vertical="center" wrapText="1"/>
    </xf>
    <xf numFmtId="167" fontId="37" fillId="27" borderId="32" xfId="0" applyNumberFormat="1" applyFont="1" applyFill="1" applyBorder="1" applyAlignment="1">
      <alignment horizontal="center" vertical="center" wrapText="1"/>
    </xf>
  </cellXfs>
  <cellStyles count="60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rmal 3" xfId="59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xmlns="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xmlns="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xmlns="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xmlns="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xmlns="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xmlns="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xmlns="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xmlns="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xmlns="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xmlns="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xmlns="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xmlns="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xmlns="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xmlns="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596900</xdr:colOff>
      <xdr:row>0</xdr:row>
      <xdr:rowOff>149225</xdr:rowOff>
    </xdr:to>
    <xdr:pic macro="[1]!DesignIconClicked">
      <xdr:nvPicPr>
        <xdr:cNvPr id="26" name="BExF5DEOMCAGFTAJLOVFY28QDWMY" hidden="1">
          <a:extLst>
            <a:ext uri="{FF2B5EF4-FFF2-40B4-BE49-F238E27FC236}">
              <a16:creationId xmlns:a16="http://schemas.microsoft.com/office/drawing/2014/main" xmlns="" id="{8854A3BA-3159-4DEB-9648-68FBE4AB9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75" y="0"/>
          <a:ext cx="596900" cy="149225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596900</xdr:colOff>
      <xdr:row>0</xdr:row>
      <xdr:rowOff>149225</xdr:rowOff>
    </xdr:to>
    <xdr:pic macro="[1]!DesignIconClicked">
      <xdr:nvPicPr>
        <xdr:cNvPr id="28" name="BExY59IYWVF8QIZCC609QX7585TS" hidden="1">
          <a:extLst>
            <a:ext uri="{FF2B5EF4-FFF2-40B4-BE49-F238E27FC236}">
              <a16:creationId xmlns:a16="http://schemas.microsoft.com/office/drawing/2014/main" xmlns="" id="{B22E4DF7-A165-4D52-979A-E30F31C8A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8975" y="0"/>
          <a:ext cx="596900" cy="1492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149225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xmlns="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2206625</xdr:colOff>
      <xdr:row>0</xdr:row>
      <xdr:rowOff>149225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xmlns="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2206625" cy="149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911225</xdr:colOff>
      <xdr:row>0</xdr:row>
      <xdr:rowOff>149225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xmlns="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0"/>
          <a:ext cx="911225" cy="14922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196850</xdr:colOff>
      <xdr:row>0</xdr:row>
      <xdr:rowOff>149225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xmlns="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5" y="0"/>
          <a:ext cx="196850" cy="149225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xmlns="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xmlns="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1420812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xmlns="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4525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BexGetCellData"/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9"/>
  <sheetViews>
    <sheetView showGridLines="0" tabSelected="1" topLeftCell="A32" zoomScaleNormal="100" workbookViewId="0">
      <selection activeCell="O60" sqref="O60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8" customWidth="1"/>
    <col min="4" max="4" width="13.85546875" style="28" bestFit="1" customWidth="1"/>
    <col min="5" max="5" width="12.85546875" style="29" bestFit="1" customWidth="1"/>
    <col min="6" max="6" width="3.140625" style="29" customWidth="1"/>
    <col min="7" max="7" width="32.42578125" style="28" customWidth="1"/>
    <col min="8" max="8" width="14.42578125" customWidth="1"/>
    <col min="9" max="9" width="15.42578125" bestFit="1" customWidth="1"/>
    <col min="10" max="10" width="17.42578125" hidden="1" customWidth="1"/>
    <col min="11" max="11" width="0" hidden="1" customWidth="1"/>
    <col min="13" max="13" width="31.42578125" customWidth="1"/>
    <col min="14" max="14" width="11.7109375" bestFit="1" customWidth="1"/>
  </cols>
  <sheetData>
    <row r="1" spans="2:14" s="2" customFormat="1" x14ac:dyDescent="0.2">
      <c r="B1" s="1"/>
      <c r="C1" s="21"/>
      <c r="D1" s="21"/>
      <c r="E1" s="22"/>
      <c r="F1" s="22"/>
      <c r="G1" s="23"/>
      <c r="H1" s="3"/>
      <c r="L1" s="4"/>
      <c r="M1" s="1"/>
      <c r="N1" s="1"/>
    </row>
    <row r="2" spans="2:14" s="2" customFormat="1" x14ac:dyDescent="0.2">
      <c r="B2" s="1"/>
      <c r="C2" s="21"/>
      <c r="D2" s="21"/>
      <c r="E2" s="24"/>
      <c r="F2" s="24"/>
      <c r="G2" s="23"/>
      <c r="H2" s="3"/>
      <c r="L2" s="4"/>
      <c r="M2" s="1"/>
      <c r="N2" s="1"/>
    </row>
    <row r="3" spans="2:14" ht="15.75" x14ac:dyDescent="0.25">
      <c r="B3" s="16" t="s">
        <v>1</v>
      </c>
      <c r="C3" s="25"/>
      <c r="D3" s="25"/>
      <c r="E3" s="25"/>
      <c r="F3" s="25"/>
      <c r="G3" s="25"/>
      <c r="H3" s="16"/>
      <c r="I3" s="16"/>
    </row>
    <row r="4" spans="2:14" x14ac:dyDescent="0.2">
      <c r="B4" s="17" t="s">
        <v>62</v>
      </c>
      <c r="C4" s="26"/>
      <c r="D4" s="26"/>
      <c r="E4" s="26"/>
      <c r="F4" s="26"/>
      <c r="G4" s="26"/>
      <c r="H4" s="18"/>
      <c r="I4" s="18"/>
    </row>
    <row r="5" spans="2:14" x14ac:dyDescent="0.2">
      <c r="B5" s="17" t="s">
        <v>61</v>
      </c>
      <c r="C5" s="26"/>
      <c r="D5" s="26"/>
      <c r="E5" s="26"/>
      <c r="F5" s="26"/>
      <c r="G5" s="26"/>
      <c r="H5" s="18"/>
      <c r="I5" s="18"/>
    </row>
    <row r="6" spans="2:14" ht="8.25" customHeight="1" x14ac:dyDescent="0.2">
      <c r="B6" s="19"/>
      <c r="C6" s="27"/>
      <c r="D6" s="27"/>
      <c r="E6" s="27"/>
      <c r="F6" s="27"/>
      <c r="G6" s="27"/>
      <c r="H6" s="20"/>
      <c r="I6" s="20"/>
    </row>
    <row r="7" spans="2:14" ht="13.5" thickBot="1" x14ac:dyDescent="0.25">
      <c r="B7" s="122" t="s">
        <v>2</v>
      </c>
      <c r="C7" s="122"/>
      <c r="D7" s="122"/>
      <c r="E7" s="122"/>
      <c r="F7" s="122"/>
      <c r="G7" s="122"/>
      <c r="H7" s="122"/>
      <c r="I7" s="122"/>
    </row>
    <row r="8" spans="2:14" ht="13.5" thickBot="1" x14ac:dyDescent="0.25">
      <c r="B8" s="102" t="s">
        <v>0</v>
      </c>
      <c r="C8" s="103"/>
      <c r="D8" s="104">
        <v>2022</v>
      </c>
      <c r="E8" s="105">
        <v>2021</v>
      </c>
      <c r="F8" s="127" t="s">
        <v>60</v>
      </c>
      <c r="G8" s="128"/>
      <c r="H8" s="106">
        <v>2022</v>
      </c>
      <c r="I8" s="107">
        <v>2021</v>
      </c>
    </row>
    <row r="9" spans="2:14" x14ac:dyDescent="0.2">
      <c r="B9" s="31"/>
      <c r="C9" s="32"/>
      <c r="D9" s="33"/>
      <c r="E9" s="34"/>
      <c r="F9" s="35"/>
      <c r="G9" s="32"/>
      <c r="H9" s="36"/>
      <c r="I9" s="37"/>
    </row>
    <row r="10" spans="2:14" x14ac:dyDescent="0.2">
      <c r="B10" s="38"/>
      <c r="C10" s="108"/>
      <c r="D10" s="39"/>
      <c r="E10" s="40"/>
      <c r="F10" s="109"/>
      <c r="G10" s="110"/>
      <c r="H10" s="41"/>
      <c r="I10" s="42"/>
    </row>
    <row r="11" spans="2:14" x14ac:dyDescent="0.2">
      <c r="B11" s="43"/>
      <c r="C11" s="111" t="s">
        <v>3</v>
      </c>
      <c r="D11" s="44"/>
      <c r="E11" s="45"/>
      <c r="F11" s="46"/>
      <c r="G11" s="111" t="s">
        <v>24</v>
      </c>
      <c r="H11" s="47"/>
      <c r="I11" s="48"/>
    </row>
    <row r="12" spans="2:14" x14ac:dyDescent="0.2">
      <c r="B12" s="43"/>
      <c r="C12" s="109" t="s">
        <v>4</v>
      </c>
      <c r="D12" s="49">
        <v>2807694525</v>
      </c>
      <c r="E12" s="50">
        <v>2289508545</v>
      </c>
      <c r="F12" s="51"/>
      <c r="G12" s="109" t="s">
        <v>25</v>
      </c>
      <c r="H12" s="47">
        <v>3378667604</v>
      </c>
      <c r="I12" s="48">
        <v>2934472775</v>
      </c>
    </row>
    <row r="13" spans="2:14" ht="22.5" x14ac:dyDescent="0.2">
      <c r="B13" s="43"/>
      <c r="C13" s="109" t="s">
        <v>5</v>
      </c>
      <c r="D13" s="49">
        <v>5663735720</v>
      </c>
      <c r="E13" s="50">
        <v>3182620368</v>
      </c>
      <c r="F13" s="51"/>
      <c r="G13" s="109" t="s">
        <v>26</v>
      </c>
      <c r="H13" s="47">
        <v>2352350</v>
      </c>
      <c r="I13" s="48">
        <v>2352350</v>
      </c>
      <c r="N13" s="118"/>
    </row>
    <row r="14" spans="2:14" ht="22.5" x14ac:dyDescent="0.2">
      <c r="B14" s="43"/>
      <c r="C14" s="52" t="s">
        <v>6</v>
      </c>
      <c r="D14" s="49">
        <v>120667504</v>
      </c>
      <c r="E14" s="50">
        <v>116940407</v>
      </c>
      <c r="F14" s="51"/>
      <c r="G14" s="109" t="s">
        <v>27</v>
      </c>
      <c r="H14" s="47">
        <v>0</v>
      </c>
      <c r="I14" s="48">
        <v>0</v>
      </c>
      <c r="N14" s="118"/>
    </row>
    <row r="15" spans="2:14" x14ac:dyDescent="0.2">
      <c r="B15" s="43"/>
      <c r="C15" s="52" t="s">
        <v>7</v>
      </c>
      <c r="D15" s="49">
        <v>17694065</v>
      </c>
      <c r="E15" s="50">
        <v>16589176</v>
      </c>
      <c r="F15" s="51"/>
      <c r="G15" s="109" t="s">
        <v>28</v>
      </c>
      <c r="H15" s="47">
        <v>0</v>
      </c>
      <c r="I15" s="48">
        <v>0</v>
      </c>
    </row>
    <row r="16" spans="2:14" x14ac:dyDescent="0.2">
      <c r="B16" s="53"/>
      <c r="C16" s="54" t="s">
        <v>8</v>
      </c>
      <c r="D16" s="49">
        <v>5450062</v>
      </c>
      <c r="E16" s="50">
        <v>5493242</v>
      </c>
      <c r="F16" s="51"/>
      <c r="G16" s="109" t="s">
        <v>29</v>
      </c>
      <c r="H16" s="47">
        <v>7307254</v>
      </c>
      <c r="I16" s="48">
        <v>7547714</v>
      </c>
    </row>
    <row r="17" spans="2:9" ht="33.75" x14ac:dyDescent="0.2">
      <c r="B17" s="55"/>
      <c r="C17" s="54" t="s">
        <v>9</v>
      </c>
      <c r="D17" s="49">
        <v>31395347</v>
      </c>
      <c r="E17" s="50">
        <v>31680071</v>
      </c>
      <c r="F17" s="51"/>
      <c r="G17" s="109" t="s">
        <v>30</v>
      </c>
      <c r="H17" s="47">
        <v>797590891</v>
      </c>
      <c r="I17" s="48">
        <v>914324304</v>
      </c>
    </row>
    <row r="18" spans="2:9" x14ac:dyDescent="0.2">
      <c r="B18" s="38"/>
      <c r="C18" s="52" t="s">
        <v>10</v>
      </c>
      <c r="D18" s="56">
        <v>764903574</v>
      </c>
      <c r="E18" s="57">
        <v>880405089</v>
      </c>
      <c r="F18" s="58"/>
      <c r="G18" s="109" t="s">
        <v>31</v>
      </c>
      <c r="H18" s="47">
        <v>78115828</v>
      </c>
      <c r="I18" s="48">
        <v>72882455</v>
      </c>
    </row>
    <row r="19" spans="2:9" x14ac:dyDescent="0.2">
      <c r="B19" s="38"/>
      <c r="C19" s="52" t="s">
        <v>11</v>
      </c>
      <c r="D19" s="59"/>
      <c r="E19" s="60"/>
      <c r="F19" s="111"/>
      <c r="G19" s="109" t="s">
        <v>32</v>
      </c>
      <c r="H19" s="47">
        <v>311921393</v>
      </c>
      <c r="I19" s="48">
        <v>309731663</v>
      </c>
    </row>
    <row r="20" spans="2:9" x14ac:dyDescent="0.2">
      <c r="B20" s="43"/>
      <c r="C20" s="61" t="s">
        <v>12</v>
      </c>
      <c r="D20" s="62">
        <f>SUM(D12:D19)</f>
        <v>9411540797</v>
      </c>
      <c r="E20" s="63">
        <f>SUM(E12:E19)</f>
        <v>6523236898</v>
      </c>
      <c r="F20" s="61"/>
      <c r="G20" s="112" t="s">
        <v>11</v>
      </c>
      <c r="H20" s="64"/>
      <c r="I20" s="65"/>
    </row>
    <row r="21" spans="2:9" x14ac:dyDescent="0.2">
      <c r="B21" s="43"/>
      <c r="C21" s="111" t="s">
        <v>11</v>
      </c>
      <c r="D21" s="59"/>
      <c r="E21" s="60"/>
      <c r="F21" s="111"/>
      <c r="G21" s="113" t="s">
        <v>33</v>
      </c>
      <c r="H21" s="64">
        <f>SUM(H12:H20)</f>
        <v>4575955320</v>
      </c>
      <c r="I21" s="65">
        <f>SUM(I12:I20)</f>
        <v>4241311261</v>
      </c>
    </row>
    <row r="22" spans="2:9" x14ac:dyDescent="0.2">
      <c r="B22" s="38"/>
      <c r="C22" s="111" t="s">
        <v>13</v>
      </c>
      <c r="D22" s="59"/>
      <c r="E22" s="66"/>
      <c r="F22" s="113"/>
      <c r="G22" s="111" t="s">
        <v>11</v>
      </c>
      <c r="H22" s="67"/>
      <c r="I22" s="68"/>
    </row>
    <row r="23" spans="2:9" ht="22.5" x14ac:dyDescent="0.2">
      <c r="B23" s="69"/>
      <c r="C23" s="109" t="s">
        <v>14</v>
      </c>
      <c r="D23" s="49">
        <v>3231551254</v>
      </c>
      <c r="E23" s="50">
        <v>2987036110</v>
      </c>
      <c r="F23" s="51"/>
      <c r="G23" s="111" t="s">
        <v>34</v>
      </c>
      <c r="H23" s="47"/>
      <c r="I23" s="48"/>
    </row>
    <row r="24" spans="2:9" ht="22.5" x14ac:dyDescent="0.2">
      <c r="B24" s="69"/>
      <c r="C24" s="109" t="s">
        <v>15</v>
      </c>
      <c r="D24" s="49">
        <v>8735726436</v>
      </c>
      <c r="E24" s="50">
        <v>8984486600</v>
      </c>
      <c r="F24" s="51"/>
      <c r="G24" s="109" t="s">
        <v>35</v>
      </c>
      <c r="H24" s="70">
        <v>25005569</v>
      </c>
      <c r="I24" s="71">
        <v>27667279</v>
      </c>
    </row>
    <row r="25" spans="2:9" ht="22.5" x14ac:dyDescent="0.2">
      <c r="B25" s="69"/>
      <c r="C25" s="109" t="s">
        <v>16</v>
      </c>
      <c r="D25" s="49">
        <v>6879699350</v>
      </c>
      <c r="E25" s="50">
        <v>6786643693</v>
      </c>
      <c r="F25" s="51"/>
      <c r="G25" s="112" t="s">
        <v>36</v>
      </c>
      <c r="H25" s="70">
        <v>18313687</v>
      </c>
      <c r="I25" s="71">
        <v>47946231</v>
      </c>
    </row>
    <row r="26" spans="2:9" x14ac:dyDescent="0.2">
      <c r="B26" s="43"/>
      <c r="C26" s="109" t="s">
        <v>17</v>
      </c>
      <c r="D26" s="49">
        <v>1361544215</v>
      </c>
      <c r="E26" s="50">
        <v>1303802867</v>
      </c>
      <c r="F26" s="51"/>
      <c r="G26" s="112" t="s">
        <v>37</v>
      </c>
      <c r="H26" s="70">
        <v>0</v>
      </c>
      <c r="I26" s="71">
        <v>0</v>
      </c>
    </row>
    <row r="27" spans="2:9" x14ac:dyDescent="0.2">
      <c r="B27" s="55"/>
      <c r="C27" s="109" t="s">
        <v>18</v>
      </c>
      <c r="D27" s="49">
        <v>30475563</v>
      </c>
      <c r="E27" s="50">
        <v>29327807</v>
      </c>
      <c r="F27" s="51"/>
      <c r="G27" s="112" t="s">
        <v>38</v>
      </c>
      <c r="H27" s="70">
        <v>14601139</v>
      </c>
      <c r="I27" s="71">
        <v>14601139</v>
      </c>
    </row>
    <row r="28" spans="2:9" ht="33.75" x14ac:dyDescent="0.2">
      <c r="B28" s="69"/>
      <c r="C28" s="109" t="s">
        <v>19</v>
      </c>
      <c r="D28" s="72">
        <v>-658700349</v>
      </c>
      <c r="E28" s="73">
        <v>-613742604</v>
      </c>
      <c r="F28" s="74"/>
      <c r="G28" s="112" t="s">
        <v>39</v>
      </c>
      <c r="H28" s="70">
        <v>928548282</v>
      </c>
      <c r="I28" s="71">
        <v>851615702</v>
      </c>
    </row>
    <row r="29" spans="2:9" x14ac:dyDescent="0.2">
      <c r="B29" s="43"/>
      <c r="C29" s="109" t="s">
        <v>20</v>
      </c>
      <c r="D29" s="49">
        <v>68834292</v>
      </c>
      <c r="E29" s="50">
        <v>66617268</v>
      </c>
      <c r="F29" s="51"/>
      <c r="G29" s="112" t="s">
        <v>40</v>
      </c>
      <c r="H29" s="70">
        <v>9191848411</v>
      </c>
      <c r="I29" s="71">
        <v>7722702446</v>
      </c>
    </row>
    <row r="30" spans="2:9" ht="22.5" x14ac:dyDescent="0.2">
      <c r="B30" s="69"/>
      <c r="C30" s="109" t="s">
        <v>21</v>
      </c>
      <c r="D30" s="49">
        <v>-40112927</v>
      </c>
      <c r="E30" s="50">
        <v>-26875897</v>
      </c>
      <c r="F30" s="51"/>
      <c r="G30" s="112" t="s">
        <v>11</v>
      </c>
      <c r="H30" s="59"/>
      <c r="I30" s="68"/>
    </row>
    <row r="31" spans="2:9" x14ac:dyDescent="0.2">
      <c r="B31" s="69"/>
      <c r="C31" s="109" t="s">
        <v>22</v>
      </c>
      <c r="D31" s="49">
        <v>514928</v>
      </c>
      <c r="E31" s="50">
        <v>514928</v>
      </c>
      <c r="F31" s="51"/>
      <c r="G31" s="112" t="s">
        <v>11</v>
      </c>
      <c r="H31" s="64"/>
      <c r="I31" s="65"/>
    </row>
    <row r="32" spans="2:9" ht="12.75" customHeight="1" x14ac:dyDescent="0.2">
      <c r="B32" s="38"/>
      <c r="C32" s="109" t="s">
        <v>11</v>
      </c>
      <c r="D32" s="59"/>
      <c r="E32" s="60"/>
      <c r="F32" s="111"/>
      <c r="G32" s="75" t="s">
        <v>41</v>
      </c>
      <c r="H32" s="64">
        <f>SUM(H24:H31)</f>
        <v>10178317088</v>
      </c>
      <c r="I32" s="65">
        <f>SUM(I24:I31)</f>
        <v>8664532797</v>
      </c>
    </row>
    <row r="33" spans="2:9" x14ac:dyDescent="0.2">
      <c r="B33" s="38"/>
      <c r="C33" s="113" t="s">
        <v>23</v>
      </c>
      <c r="D33" s="76">
        <f>SUM(D23:D32)</f>
        <v>19609532762</v>
      </c>
      <c r="E33" s="77">
        <f>SUM(E23:E32)</f>
        <v>19517810772</v>
      </c>
      <c r="F33" s="61"/>
      <c r="G33" s="75" t="s">
        <v>11</v>
      </c>
      <c r="H33" s="78"/>
      <c r="I33" s="79"/>
    </row>
    <row r="34" spans="2:9" ht="24" customHeight="1" thickBot="1" x14ac:dyDescent="0.25">
      <c r="B34" s="38"/>
      <c r="C34" s="113" t="s">
        <v>59</v>
      </c>
      <c r="D34" s="80">
        <f>+D20+D33</f>
        <v>29021073559</v>
      </c>
      <c r="E34" s="81">
        <f>+E20+E33</f>
        <v>26041047670</v>
      </c>
      <c r="F34" s="82"/>
      <c r="G34" s="114" t="s">
        <v>42</v>
      </c>
      <c r="H34" s="64">
        <f>+H32+H21</f>
        <v>14754272408</v>
      </c>
      <c r="I34" s="65">
        <f>+I21+I32</f>
        <v>12905844058</v>
      </c>
    </row>
    <row r="35" spans="2:9" ht="13.5" thickTop="1" x14ac:dyDescent="0.2">
      <c r="B35" s="38"/>
      <c r="C35" s="113"/>
      <c r="D35" s="76"/>
      <c r="E35" s="63"/>
      <c r="F35" s="61"/>
      <c r="G35" s="109" t="s">
        <v>11</v>
      </c>
      <c r="H35" s="47"/>
      <c r="I35" s="48"/>
    </row>
    <row r="36" spans="2:9" x14ac:dyDescent="0.2">
      <c r="B36" s="38"/>
      <c r="C36" s="115" t="s">
        <v>11</v>
      </c>
      <c r="D36" s="83"/>
      <c r="E36" s="84"/>
      <c r="F36" s="52"/>
      <c r="G36" s="114" t="s">
        <v>43</v>
      </c>
      <c r="H36" s="47"/>
      <c r="I36" s="48"/>
    </row>
    <row r="37" spans="2:9" ht="22.5" x14ac:dyDescent="0.2">
      <c r="B37" s="38"/>
      <c r="C37" s="115" t="s">
        <v>11</v>
      </c>
      <c r="D37" s="83"/>
      <c r="E37" s="84"/>
      <c r="F37" s="52"/>
      <c r="G37" s="114" t="s">
        <v>44</v>
      </c>
      <c r="H37" s="85">
        <f>SUM(H38:H40)</f>
        <v>6580719154</v>
      </c>
      <c r="I37" s="65">
        <f>SUM(I38:I40)</f>
        <v>5773625397</v>
      </c>
    </row>
    <row r="38" spans="2:9" x14ac:dyDescent="0.2">
      <c r="B38" s="38"/>
      <c r="C38" s="115" t="s">
        <v>11</v>
      </c>
      <c r="D38" s="83"/>
      <c r="E38" s="84"/>
      <c r="F38" s="52"/>
      <c r="G38" s="109" t="s">
        <v>45</v>
      </c>
      <c r="H38" s="47">
        <v>1936080784</v>
      </c>
      <c r="I38" s="48">
        <v>1892931740</v>
      </c>
    </row>
    <row r="39" spans="2:9" x14ac:dyDescent="0.2">
      <c r="B39" s="38"/>
      <c r="C39" s="115" t="s">
        <v>11</v>
      </c>
      <c r="D39" s="83"/>
      <c r="E39" s="84"/>
      <c r="F39" s="52"/>
      <c r="G39" s="109" t="s">
        <v>46</v>
      </c>
      <c r="H39" s="47">
        <v>60904503</v>
      </c>
      <c r="I39" s="48">
        <v>59973404</v>
      </c>
    </row>
    <row r="40" spans="2:9" ht="22.5" x14ac:dyDescent="0.2">
      <c r="B40" s="38"/>
      <c r="C40" s="115" t="s">
        <v>11</v>
      </c>
      <c r="D40" s="83"/>
      <c r="E40" s="84"/>
      <c r="F40" s="52"/>
      <c r="G40" s="109" t="s">
        <v>47</v>
      </c>
      <c r="H40" s="47">
        <v>4583733867</v>
      </c>
      <c r="I40" s="48">
        <v>3820720253</v>
      </c>
    </row>
    <row r="41" spans="2:9" x14ac:dyDescent="0.2">
      <c r="B41" s="38"/>
      <c r="C41" s="115" t="s">
        <v>11</v>
      </c>
      <c r="D41" s="83"/>
      <c r="E41" s="84"/>
      <c r="F41" s="52"/>
      <c r="G41" s="114" t="s">
        <v>11</v>
      </c>
      <c r="H41" s="47"/>
      <c r="I41" s="48"/>
    </row>
    <row r="42" spans="2:9" ht="22.5" x14ac:dyDescent="0.2">
      <c r="B42" s="38"/>
      <c r="C42" s="115" t="s">
        <v>11</v>
      </c>
      <c r="D42" s="83"/>
      <c r="E42" s="84"/>
      <c r="F42" s="52"/>
      <c r="G42" s="114" t="s">
        <v>48</v>
      </c>
      <c r="H42" s="85">
        <f>SUM(H43:H47)</f>
        <v>7693627705</v>
      </c>
      <c r="I42" s="86">
        <f>SUM(I43:I47)</f>
        <v>7369123923</v>
      </c>
    </row>
    <row r="43" spans="2:9" ht="22.5" x14ac:dyDescent="0.2">
      <c r="B43" s="38"/>
      <c r="C43" s="115" t="s">
        <v>11</v>
      </c>
      <c r="D43" s="83"/>
      <c r="E43" s="84"/>
      <c r="F43" s="52"/>
      <c r="G43" s="116" t="s">
        <v>49</v>
      </c>
      <c r="H43" s="47">
        <v>572672693</v>
      </c>
      <c r="I43" s="47">
        <v>341219130</v>
      </c>
    </row>
    <row r="44" spans="2:9" x14ac:dyDescent="0.2">
      <c r="B44" s="38"/>
      <c r="C44" s="115" t="s">
        <v>11</v>
      </c>
      <c r="D44" s="83"/>
      <c r="E44" s="84"/>
      <c r="F44" s="52"/>
      <c r="G44" s="116" t="s">
        <v>50</v>
      </c>
      <c r="H44" s="47">
        <v>5274550906</v>
      </c>
      <c r="I44" s="47">
        <v>5213727067</v>
      </c>
    </row>
    <row r="45" spans="2:9" x14ac:dyDescent="0.2">
      <c r="B45" s="38"/>
      <c r="C45" s="115" t="s">
        <v>11</v>
      </c>
      <c r="D45" s="83"/>
      <c r="E45" s="84"/>
      <c r="F45" s="52"/>
      <c r="G45" s="109" t="s">
        <v>51</v>
      </c>
      <c r="H45" s="47">
        <v>493690599</v>
      </c>
      <c r="I45" s="47">
        <v>465428557</v>
      </c>
    </row>
    <row r="46" spans="2:9" x14ac:dyDescent="0.2">
      <c r="B46" s="38"/>
      <c r="C46" s="115" t="s">
        <v>11</v>
      </c>
      <c r="D46" s="83"/>
      <c r="E46" s="84"/>
      <c r="F46" s="52"/>
      <c r="G46" s="109" t="s">
        <v>52</v>
      </c>
      <c r="H46" s="47">
        <v>39530592</v>
      </c>
      <c r="I46" s="47">
        <v>40550358</v>
      </c>
    </row>
    <row r="47" spans="2:9" ht="22.5" x14ac:dyDescent="0.2">
      <c r="B47" s="38"/>
      <c r="C47" s="115" t="s">
        <v>11</v>
      </c>
      <c r="D47" s="83"/>
      <c r="E47" s="84"/>
      <c r="F47" s="52"/>
      <c r="G47" s="109" t="s">
        <v>53</v>
      </c>
      <c r="H47" s="87">
        <v>1313182915</v>
      </c>
      <c r="I47" s="87">
        <v>1308198811</v>
      </c>
    </row>
    <row r="48" spans="2:9" x14ac:dyDescent="0.2">
      <c r="B48" s="38"/>
      <c r="C48" s="115" t="s">
        <v>11</v>
      </c>
      <c r="D48" s="83"/>
      <c r="E48" s="88"/>
      <c r="F48" s="52"/>
      <c r="G48" s="114" t="s">
        <v>11</v>
      </c>
      <c r="H48" s="64"/>
      <c r="I48" s="65"/>
    </row>
    <row r="49" spans="2:13" ht="33.75" x14ac:dyDescent="0.2">
      <c r="B49" s="38"/>
      <c r="C49" s="115" t="s">
        <v>11</v>
      </c>
      <c r="D49" s="83"/>
      <c r="E49" s="88"/>
      <c r="F49" s="52"/>
      <c r="G49" s="114" t="s">
        <v>54</v>
      </c>
      <c r="H49" s="64">
        <f>+H50+H51</f>
        <v>-7545708</v>
      </c>
      <c r="I49" s="64">
        <f>+I50+I51</f>
        <v>-7545708.1799999997</v>
      </c>
    </row>
    <row r="50" spans="2:13" x14ac:dyDescent="0.2">
      <c r="B50" s="38"/>
      <c r="C50" s="117" t="s">
        <v>11</v>
      </c>
      <c r="D50" s="89"/>
      <c r="E50" s="40"/>
      <c r="F50" s="109"/>
      <c r="G50" s="90" t="s">
        <v>55</v>
      </c>
      <c r="H50" s="47">
        <v>-7545708</v>
      </c>
      <c r="I50" s="47">
        <v>-7545708.1799999997</v>
      </c>
    </row>
    <row r="51" spans="2:13" ht="22.5" x14ac:dyDescent="0.2">
      <c r="B51" s="43"/>
      <c r="C51" s="108" t="s">
        <v>11</v>
      </c>
      <c r="D51" s="91"/>
      <c r="E51" s="40"/>
      <c r="F51" s="109"/>
      <c r="G51" s="109" t="s">
        <v>56</v>
      </c>
      <c r="H51" s="67">
        <v>0</v>
      </c>
      <c r="I51" s="42">
        <v>0</v>
      </c>
    </row>
    <row r="52" spans="2:13" x14ac:dyDescent="0.2">
      <c r="B52" s="38"/>
      <c r="C52" s="108" t="s">
        <v>11</v>
      </c>
      <c r="D52" s="91"/>
      <c r="E52" s="40"/>
      <c r="F52" s="109"/>
      <c r="G52" s="114" t="s">
        <v>11</v>
      </c>
      <c r="H52" s="67"/>
      <c r="I52" s="42"/>
    </row>
    <row r="53" spans="2:13" ht="22.5" x14ac:dyDescent="0.2">
      <c r="B53" s="43"/>
      <c r="C53" s="108" t="s">
        <v>11</v>
      </c>
      <c r="D53" s="49"/>
      <c r="E53" s="50"/>
      <c r="F53" s="51"/>
      <c r="G53" s="114" t="s">
        <v>57</v>
      </c>
      <c r="H53" s="64">
        <f>+H37+H42+H49</f>
        <v>14266801151</v>
      </c>
      <c r="I53" s="64">
        <f>+I37+I42+I49</f>
        <v>13135203611.82</v>
      </c>
    </row>
    <row r="54" spans="2:13" x14ac:dyDescent="0.2">
      <c r="B54" s="43"/>
      <c r="C54" s="108" t="s">
        <v>11</v>
      </c>
      <c r="D54" s="49"/>
      <c r="E54" s="50"/>
      <c r="F54" s="51"/>
      <c r="G54" s="114" t="s">
        <v>11</v>
      </c>
      <c r="H54" s="47"/>
      <c r="I54" s="48"/>
    </row>
    <row r="55" spans="2:13" ht="23.25" thickBot="1" x14ac:dyDescent="0.25">
      <c r="B55" s="43"/>
      <c r="C55" s="108" t="s">
        <v>11</v>
      </c>
      <c r="D55" s="49"/>
      <c r="E55" s="50"/>
      <c r="F55" s="51"/>
      <c r="G55" s="114" t="s">
        <v>58</v>
      </c>
      <c r="H55" s="92">
        <f>+H34+H53</f>
        <v>29021073559</v>
      </c>
      <c r="I55" s="93">
        <f>+I34+I53</f>
        <v>26041047669.82</v>
      </c>
      <c r="L55" s="30"/>
      <c r="M55" s="30"/>
    </row>
    <row r="56" spans="2:13" ht="13.5" thickTop="1" x14ac:dyDescent="0.2">
      <c r="B56" s="43"/>
      <c r="C56" s="94"/>
      <c r="D56" s="49"/>
      <c r="E56" s="50"/>
      <c r="F56" s="51"/>
      <c r="G56" s="114"/>
      <c r="H56" s="47"/>
      <c r="I56" s="48"/>
    </row>
    <row r="57" spans="2:13" ht="13.5" thickBot="1" x14ac:dyDescent="0.25">
      <c r="B57" s="95"/>
      <c r="C57" s="96"/>
      <c r="D57" s="97"/>
      <c r="E57" s="98"/>
      <c r="F57" s="99"/>
      <c r="G57" s="99"/>
      <c r="H57" s="100"/>
      <c r="I57" s="101"/>
    </row>
    <row r="58" spans="2:13" x14ac:dyDescent="0.2">
      <c r="H58" s="30"/>
      <c r="I58" s="30"/>
    </row>
    <row r="59" spans="2:13" x14ac:dyDescent="0.2">
      <c r="H59" s="5"/>
      <c r="I59" s="5"/>
    </row>
    <row r="60" spans="2:13" ht="25.5" customHeight="1" x14ac:dyDescent="0.2">
      <c r="G60" s="126"/>
      <c r="H60" s="126"/>
      <c r="I60" s="126"/>
    </row>
    <row r="61" spans="2:13" x14ac:dyDescent="0.2">
      <c r="H61" s="11"/>
    </row>
    <row r="62" spans="2:13" x14ac:dyDescent="0.2">
      <c r="H62" s="12"/>
    </row>
    <row r="63" spans="2:13" x14ac:dyDescent="0.2">
      <c r="C63" s="119"/>
      <c r="D63" s="119"/>
      <c r="E63" s="120"/>
      <c r="F63" s="120"/>
      <c r="G63" s="119"/>
      <c r="H63" s="121"/>
    </row>
    <row r="64" spans="2:13" x14ac:dyDescent="0.2">
      <c r="C64" s="119"/>
      <c r="D64" s="119"/>
      <c r="E64" s="120"/>
      <c r="F64" s="120"/>
      <c r="G64" s="119"/>
      <c r="H64" s="119"/>
    </row>
    <row r="65" spans="2:8" ht="15.75" customHeight="1" x14ac:dyDescent="0.2">
      <c r="C65" s="123"/>
      <c r="D65" s="123"/>
      <c r="E65" s="120"/>
      <c r="F65" s="120"/>
      <c r="G65" s="123"/>
      <c r="H65" s="123"/>
    </row>
    <row r="66" spans="2:8" ht="15.75" customHeight="1" x14ac:dyDescent="0.2">
      <c r="C66" s="124"/>
      <c r="D66" s="124"/>
      <c r="G66" s="125"/>
      <c r="H66" s="125"/>
    </row>
    <row r="69" spans="2:8" ht="15" x14ac:dyDescent="0.25">
      <c r="B69" s="15"/>
    </row>
  </sheetData>
  <mergeCells count="7">
    <mergeCell ref="B7:I7"/>
    <mergeCell ref="C65:D65"/>
    <mergeCell ref="C66:D66"/>
    <mergeCell ref="G65:H65"/>
    <mergeCell ref="G66:H66"/>
    <mergeCell ref="G60:I60"/>
    <mergeCell ref="F8:G8"/>
  </mergeCells>
  <printOptions horizontalCentered="1"/>
  <pageMargins left="0.25" right="0.25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9"/>
      <c r="B1" s="10">
        <f>[1]!BexGetCellData("003N8D85VN5WHY95OZ9S05CNN","","DP_2")</f>
        <v>2021</v>
      </c>
      <c r="C1" s="10" t="str">
        <f>[1]!BexGetCellData("003N8D85VN5Y88OYUKVCK6RBE","","DP_2")</f>
        <v>'2020</v>
      </c>
    </row>
    <row r="2" spans="1:3" x14ac:dyDescent="0.2">
      <c r="A2" s="10" t="str">
        <f>[1]!BexGetCellData("","003N8D85VN5WHXYYGMBJV0SGC","DP_2")</f>
        <v>Activo</v>
      </c>
      <c r="B2" s="8" t="str">
        <f>[1]!BexGetCellData("003N8D85VN5WHY95OZ9S05CNN","003N8D85VN5WHXYYGMBJV0SGC","DP_2")</f>
        <v>#NV</v>
      </c>
      <c r="C2" s="8" t="str">
        <f>[1]!BexGetCellData("003N8D85VN5Y88OYUKVCK6RBE","003N8D85VN5WHXYYGMBJV0SGC","DP_2")</f>
        <v>#NV</v>
      </c>
    </row>
    <row r="3" spans="1:3" x14ac:dyDescent="0.2">
      <c r="A3" s="10" t="str">
        <f>[1]!BexGetCellData("","003N8D85VN5WHXYYHQTX0GZDH","DP_2")</f>
        <v xml:space="preserve">  Activo Circulante</v>
      </c>
      <c r="B3" s="8" t="str">
        <f>[1]!BexGetCellData("003N8D85VN5WHY95OZ9S05CNN","003N8D85VN5WHXYYHQTX0GZDH","DP_2")</f>
        <v>#NV</v>
      </c>
      <c r="C3" s="8" t="str">
        <f>[1]!BexGetCellData("003N8D85VN5Y88OYUKVCK6RBE","003N8D85VN5WHXYYHQTX0GZDH","DP_2")</f>
        <v>#NV</v>
      </c>
    </row>
    <row r="4" spans="1:3" x14ac:dyDescent="0.2">
      <c r="A4" s="10" t="str">
        <f>[1]!BexGetCellData("","003N8D85VN5WHXYYIHA312Z2T","DP_2")</f>
        <v xml:space="preserve">    Efectivo y Equivalentes</v>
      </c>
      <c r="B4" s="6" t="str">
        <f>[1]!BexGetCellData("003N8D85VN5WHY95OZ9S05CNN","003N8D85VN5WHXYYIHA312Z2T","DP_2")</f>
        <v>#NV</v>
      </c>
      <c r="C4" s="6" t="str">
        <f>[1]!BexGetCellData("003N8D85VN5Y88OYUKVCK6RBE","003N8D85VN5WHXYYIHA312Z2T","DP_2")</f>
        <v>#NV</v>
      </c>
    </row>
    <row r="5" spans="1:3" x14ac:dyDescent="0.2">
      <c r="A5" s="10" t="str">
        <f>[1]!BexGetCellData("","003N8D85VN5WHXYYJFH6AB0UT","DP_2")</f>
        <v xml:space="preserve">    Derechos a Recibir Efectivo o Equivalentes</v>
      </c>
      <c r="B5" s="6" t="str">
        <f>[1]!BexGetCellData("003N8D85VN5WHY95OZ9S05CNN","003N8D85VN5WHXYYJFH6AB0UT","DP_2")</f>
        <v>#NV</v>
      </c>
      <c r="C5" s="6" t="str">
        <f>[1]!BexGetCellData("003N8D85VN5Y88OYUKVCK6RBE","003N8D85VN5WHXYYJFH6AB0UT","DP_2")</f>
        <v>#NV</v>
      </c>
    </row>
    <row r="6" spans="1:3" x14ac:dyDescent="0.2">
      <c r="A6" s="10" t="str">
        <f>[1]!BexGetCellData("","003N8D85VN5WHXYYK9UP6GOPK","DP_2")</f>
        <v xml:space="preserve">    Derechos a Recibir Bienes o Servicios</v>
      </c>
      <c r="B6" s="6" t="str">
        <f>[1]!BexGetCellData("003N8D85VN5WHY95OZ9S05CNN","003N8D85VN5WHXYYK9UP6GOPK","DP_2")</f>
        <v>#NV</v>
      </c>
      <c r="C6" s="6" t="str">
        <f>[1]!BexGetCellData("003N8D85VN5Y88OYUKVCK6RBE","003N8D85VN5WHXYYK9UP6GOPK","DP_2")</f>
        <v>#NV</v>
      </c>
    </row>
    <row r="7" spans="1:3" x14ac:dyDescent="0.2">
      <c r="A7" s="10" t="str">
        <f>[1]!BexGetCellData("","003N8D85VN5WHXYYKUQD6W1SO","DP_2")</f>
        <v xml:space="preserve">    Inventarios</v>
      </c>
      <c r="B7" s="7" t="str">
        <f>[1]!BexGetCellData("003N8D85VN5WHY95OZ9S05CNN","003N8D85VN5WHXYYKUQD6W1SO","DP_2")</f>
        <v>#NV</v>
      </c>
      <c r="C7" s="8" t="str">
        <f>[1]!BexGetCellData("003N8D85VN5Y88OYUKVCK6RBE","003N8D85VN5WHXYYKUQD6W1SO","DP_2")</f>
        <v>#NV</v>
      </c>
    </row>
    <row r="8" spans="1:3" x14ac:dyDescent="0.2">
      <c r="A8" s="10" t="str">
        <f>[1]!BexGetCellData("","003N8D85VN5WHXYYLGK325FDM","DP_2")</f>
        <v xml:space="preserve">    Almacenes</v>
      </c>
      <c r="B8" s="6" t="str">
        <f>[1]!BexGetCellData("003N8D85VN5WHY95OZ9S05CNN","003N8D85VN5WHXYYLGK325FDM","DP_2")</f>
        <v>#NV</v>
      </c>
      <c r="C8" s="6" t="str">
        <f>[1]!BexGetCellData("003N8D85VN5Y88OYUKVCK6RBE","003N8D85VN5WHXYYLGK325FDM","DP_2")</f>
        <v>#NV</v>
      </c>
    </row>
    <row r="9" spans="1:3" x14ac:dyDescent="0.2">
      <c r="A9" s="10" t="str">
        <f>[1]!BexGetCellData("","003N8D85VN5WHXYYM00MY6RKQ","DP_2")</f>
        <v xml:space="preserve">    Estimación por Pérdida o Deterioro de Activos Circulante</v>
      </c>
      <c r="B9" s="7" t="str">
        <f>[1]!BexGetCellData("003N8D85VN5WHY95OZ9S05CNN","003N8D85VN5WHXYYM00MY6RKQ","DP_2")</f>
        <v>#NV</v>
      </c>
      <c r="C9" s="8" t="str">
        <f>[1]!BexGetCellData("003N8D85VN5Y88OYUKVCK6RBE","003N8D85VN5WHXYYM00MY6RKQ","DP_2")</f>
        <v>#NV</v>
      </c>
    </row>
    <row r="10" spans="1:3" x14ac:dyDescent="0.2">
      <c r="A10" s="10" t="str">
        <f>[1]!BexGetCellData("","003N8D85VN5WHXYYMNG18MZVE","DP_2")</f>
        <v xml:space="preserve">    Otros Activos Circulantes</v>
      </c>
      <c r="B10" s="7" t="str">
        <f>[1]!BexGetCellData("003N8D85VN5WHY95OZ9S05CNN","003N8D85VN5WHXYYMNG18MZVE","DP_2")</f>
        <v>#NV</v>
      </c>
      <c r="C10" s="6" t="str">
        <f>[1]!BexGetCellData("003N8D85VN5Y88OYUKVCK6RBE","003N8D85VN5WHXYYMNG18MZVE","DP_2")</f>
        <v>#NV</v>
      </c>
    </row>
    <row r="11" spans="1:3" x14ac:dyDescent="0.2">
      <c r="A11" s="10" t="str">
        <f>[1]!BexGetCellData("","003N8D85VN5WHY982ZBRCCOPL","DP_2")</f>
        <v xml:space="preserve">  Total de Activos Circulantes</v>
      </c>
      <c r="B11" s="6" t="str">
        <f>[1]!BexGetCellData("003N8D85VN5WHY95OZ9S05CNN","003N8D85VN5WHY982ZBRCCOPL","DP_2")</f>
        <v>#NV</v>
      </c>
      <c r="C11" s="6" t="str">
        <f>[1]!BexGetCellData("003N8D85VN5Y88OYUKVCK6RBE","003N8D85VN5WHY982ZBRCCOPL","DP_2")</f>
        <v>#NV</v>
      </c>
    </row>
    <row r="12" spans="1:3" x14ac:dyDescent="0.2">
      <c r="A12" s="10" t="str">
        <f>[1]!BexGetCellData("","003N8D85VN5WHY8XRC4EJO2A6","DP_2")</f>
        <v xml:space="preserve">  Activo No Circulante</v>
      </c>
      <c r="B12" s="8" t="str">
        <f>[1]!BexGetCellData("003N8D85VN5WHY95OZ9S05CNN","003N8D85VN5WHY8XRC4EJO2A6","DP_2")</f>
        <v>#NV</v>
      </c>
      <c r="C12" s="8" t="str">
        <f>[1]!BexGetCellData("003N8D85VN5Y88OYUKVCK6RBE","003N8D85VN5WHY8XRC4EJO2A6","DP_2")</f>
        <v>#NV</v>
      </c>
    </row>
    <row r="13" spans="1:3" x14ac:dyDescent="0.2">
      <c r="A13" s="10" t="str">
        <f>[1]!BexGetCellData("","003N8D85VN5WHY8XSMJG84OEO","DP_2")</f>
        <v xml:space="preserve">    Inversiones Financieras a Largo Plazo</v>
      </c>
      <c r="B13" s="6" t="str">
        <f>[1]!BexGetCellData("003N8D85VN5WHY95OZ9S05CNN","003N8D85VN5WHY8XSMJG84OEO","DP_2")</f>
        <v>#NV</v>
      </c>
      <c r="C13" s="6" t="str">
        <f>[1]!BexGetCellData("003N8D85VN5Y88OYUKVCK6RBE","003N8D85VN5WHY8XSMJG84OEO","DP_2")</f>
        <v>#NV</v>
      </c>
    </row>
    <row r="14" spans="1:3" x14ac:dyDescent="0.2">
      <c r="A14" s="10" t="str">
        <f>[1]!BexGetCellData("","003N8D85VN5WHY8XTPY9O3YC0","DP_2")</f>
        <v xml:space="preserve">    Derechos a Recibir Efectivo o Equivalentes a Largo Plazo</v>
      </c>
      <c r="B14" s="6" t="str">
        <f>[1]!BexGetCellData("003N8D85VN5WHY95OZ9S05CNN","003N8D85VN5WHY8XTPY9O3YC0","DP_2")</f>
        <v>#NV</v>
      </c>
      <c r="C14" s="6" t="str">
        <f>[1]!BexGetCellData("003N8D85VN5Y88OYUKVCK6RBE","003N8D85VN5WHY8XTPY9O3YC0","DP_2")</f>
        <v>#NV</v>
      </c>
    </row>
    <row r="15" spans="1:3" x14ac:dyDescent="0.2">
      <c r="A15" s="10" t="str">
        <f>[1]!BexGetCellData("","003N8D85VN5WHY8XUMAM086U3","DP_2")</f>
        <v xml:space="preserve">    Bienes Inmuebles, Infraestructura y Construcciones en Pr</v>
      </c>
      <c r="B15" s="6" t="str">
        <f>[1]!BexGetCellData("003N8D85VN5WHY95OZ9S05CNN","003N8D85VN5WHY8XUMAM086U3","DP_2")</f>
        <v>#NV</v>
      </c>
      <c r="C15" s="6" t="str">
        <f>[1]!BexGetCellData("003N8D85VN5Y88OYUKVCK6RBE","003N8D85VN5WHY8XUMAM086U3","DP_2")</f>
        <v>#NV</v>
      </c>
    </row>
    <row r="16" spans="1:3" x14ac:dyDescent="0.2">
      <c r="A16" s="10" t="str">
        <f>[1]!BexGetCellData("","003N8D85VN5WHY8XXSRX4Y00S","DP_2")</f>
        <v xml:space="preserve">    Bienes Muebles</v>
      </c>
      <c r="B16" s="6" t="str">
        <f>[1]!BexGetCellData("003N8D85VN5WHY95OZ9S05CNN","003N8D85VN5WHY8XXSRX4Y00S","DP_2")</f>
        <v>#NV</v>
      </c>
      <c r="C16" s="6" t="str">
        <f>[1]!BexGetCellData("003N8D85VN5Y88OYUKVCK6RBE","003N8D85VN5WHY8XXSRX4Y00S","DP_2")</f>
        <v>#NV</v>
      </c>
    </row>
    <row r="17" spans="1:3" x14ac:dyDescent="0.2">
      <c r="A17" s="10" t="str">
        <f>[1]!BexGetCellData("","003N8D85VN5WHY8XYL34N049R","DP_2")</f>
        <v xml:space="preserve">    Activos Intangibles</v>
      </c>
      <c r="B17" s="6" t="str">
        <f>[1]!BexGetCellData("003N8D85VN5WHY95OZ9S05CNN","003N8D85VN5WHY8XYL34N049R","DP_2")</f>
        <v>#NV</v>
      </c>
      <c r="C17" s="6" t="str">
        <f>[1]!BexGetCellData("003N8D85VN5Y88OYUKVCK6RBE","003N8D85VN5WHY8XYL34N049R","DP_2")</f>
        <v>#NV</v>
      </c>
    </row>
    <row r="18" spans="1:3" x14ac:dyDescent="0.2">
      <c r="A18" s="10" t="str">
        <f>[1]!BexGetCellData("","003N8D85VN5WHY8YD4DQ8QRBA","DP_2")</f>
        <v xml:space="preserve">    Depreciación, Deterioro y Amortización Acumulada de Bien</v>
      </c>
      <c r="B18" s="6" t="str">
        <f>[1]!BexGetCellData("003N8D85VN5WHY95OZ9S05CNN","003N8D85VN5WHY8YD4DQ8QRBA","DP_2")</f>
        <v>#NV</v>
      </c>
      <c r="C18" s="6" t="str">
        <f>[1]!BexGetCellData("003N8D85VN5Y88OYUKVCK6RBE","003N8D85VN5WHY8YD4DQ8QRBA","DP_2")</f>
        <v>#NV</v>
      </c>
    </row>
    <row r="19" spans="1:3" x14ac:dyDescent="0.2">
      <c r="A19" s="10" t="str">
        <f>[1]!BexGetCellData("","003N8D85VN5WHY8YD4DQ8QXMU","DP_2")</f>
        <v xml:space="preserve">    Activos Diferidos</v>
      </c>
      <c r="B19" s="6" t="str">
        <f>[1]!BexGetCellData("003N8D85VN5WHY95OZ9S05CNN","003N8D85VN5WHY8YD4DQ8QXMU","DP_2")</f>
        <v>#NV</v>
      </c>
      <c r="C19" s="6" t="str">
        <f>[1]!BexGetCellData("003N8D85VN5Y88OYUKVCK6RBE","003N8D85VN5WHY8YD4DQ8QXMU","DP_2")</f>
        <v>#NV</v>
      </c>
    </row>
    <row r="20" spans="1:3" x14ac:dyDescent="0.2">
      <c r="A20" s="10" t="str">
        <f>[1]!BexGetCellData("","003N8D85VN5WHY8YDWUARZIRR","DP_2")</f>
        <v xml:space="preserve">    Estimación por Pérdida o Deterioro de Activos no Circula</v>
      </c>
      <c r="B20" s="7" t="str">
        <f>[1]!BexGetCellData("003N8D85VN5WHY95OZ9S05CNN","003N8D85VN5WHY8YDWUARZIRR","DP_2")</f>
        <v>#NV</v>
      </c>
      <c r="C20" s="8" t="str">
        <f>[1]!BexGetCellData("003N8D85VN5Y88OYUKVCK6RBE","003N8D85VN5WHY8YDWUARZIRR","DP_2")</f>
        <v>#NV</v>
      </c>
    </row>
    <row r="21" spans="1:3" x14ac:dyDescent="0.2">
      <c r="A21" s="10" t="str">
        <f>[1]!BexGetCellData("","003N8D85VN5WHY8YEO01MMKSN","DP_2")</f>
        <v xml:space="preserve">    Otros Activos no Circulantes</v>
      </c>
      <c r="B21" s="7" t="str">
        <f>[1]!BexGetCellData("003N8D85VN5WHY95OZ9S05CNN","003N8D85VN5WHY8YEO01MMKSN","DP_2")</f>
        <v>#NV</v>
      </c>
      <c r="C21" s="8" t="str">
        <f>[1]!BexGetCellData("003N8D85VN5Y88OYUKVCK6RBE","003N8D85VN5WHY8YEO01MMKSN","DP_2")</f>
        <v>#NV</v>
      </c>
    </row>
    <row r="22" spans="1:3" x14ac:dyDescent="0.2">
      <c r="A22" s="10" t="str">
        <f>[1]!BexGetCellData("","003N8D85VN5WHY984PA514PP8","DP_2")</f>
        <v xml:space="preserve">  Total de Activos No Circulantes</v>
      </c>
      <c r="B22" s="6" t="str">
        <f>[1]!BexGetCellData("003N8D85VN5WHY95OZ9S05CNN","003N8D85VN5WHY984PA514PP8","DP_2")</f>
        <v>#NV</v>
      </c>
      <c r="C22" s="6" t="str">
        <f>[1]!BexGetCellData("003N8D85VN5Y88OYUKVCK6RBE","003N8D85VN5WHY984PA514PP8","DP_2")</f>
        <v>#NV</v>
      </c>
    </row>
    <row r="23" spans="1:3" x14ac:dyDescent="0.2">
      <c r="A23" s="10" t="str">
        <f>[1]!BexGetCellData("","003N8D85VN5WHY985LPIE2C65","DP_2")</f>
        <v>Total de Activos</v>
      </c>
      <c r="B23" s="6" t="str">
        <f>[1]!BexGetCellData("003N8D85VN5WHY95OZ9S05CNN","003N8D85VN5WHY985LPIE2C65","DP_2")</f>
        <v>#NV</v>
      </c>
      <c r="C23" s="6" t="str">
        <f>[1]!BexGetCellData("003N8D85VN5Y88OYUKVCK6RBE","003N8D85VN5WHY985LPIE2C65","DP_2")</f>
        <v>#NV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42578125" bestFit="1" customWidth="1"/>
    <col min="2" max="2" width="22" bestFit="1" customWidth="1"/>
    <col min="3" max="3" width="21.42578125" bestFit="1" customWidth="1"/>
  </cols>
  <sheetData>
    <row r="1" spans="1:3" x14ac:dyDescent="0.2">
      <c r="A1" s="9"/>
      <c r="B1" s="10" t="str">
        <f>[1]!BexGetCellData("003N8D85VN5Y88UOCOONXLKGG","","DP_3")</f>
        <v>'2021</v>
      </c>
      <c r="C1" s="10" t="str">
        <f>[1]!BexGetCellData("003N8D85VN5Y88UOCOONXLQS0","","DP_3")</f>
        <v>'2020</v>
      </c>
    </row>
    <row r="2" spans="1:3" x14ac:dyDescent="0.2">
      <c r="A2" s="10" t="str">
        <f>[1]!BexGetCellData("","003N8D85VN5Y88UOCOONX9SY8","DP_3")</f>
        <v>Pasivo</v>
      </c>
      <c r="B2" s="8" t="str">
        <f>[1]!BexGetCellData("003N8D85VN5Y88UOCOONXLKGG","003N8D85VN5Y88UOCOONX9SY8","DP_3")</f>
        <v>#NV</v>
      </c>
      <c r="C2" s="8" t="str">
        <f>[1]!BexGetCellData("003N8D85VN5Y88UOCOONXLQS0","003N8D85VN5Y88UOCOONX9SY8","DP_3")</f>
        <v>#NV</v>
      </c>
    </row>
    <row r="3" spans="1:3" x14ac:dyDescent="0.2">
      <c r="A3" s="10" t="str">
        <f>[1]!BexGetCellData("","003N8D85VN5Y88UOCOONXABWW","DP_3")</f>
        <v xml:space="preserve">  Pasivo Circulante</v>
      </c>
      <c r="B3" s="8" t="str">
        <f>[1]!BexGetCellData("003N8D85VN5Y88UOCOONXLKGG","003N8D85VN5Y88UOCOONXABWW","DP_3")</f>
        <v>#NV</v>
      </c>
      <c r="C3" s="8" t="str">
        <f>[1]!BexGetCellData("003N8D85VN5Y88UOCOONXLQS0","003N8D85VN5Y88UOCOONXABWW","DP_3")</f>
        <v>#NV</v>
      </c>
    </row>
    <row r="4" spans="1:3" x14ac:dyDescent="0.2">
      <c r="A4" s="10" t="str">
        <f>[1]!BexGetCellData("","003N8D85VN5Y88UOCOONXAUVK","DP_3")</f>
        <v xml:space="preserve">    Cuentas por Pagar a Corto Plazo</v>
      </c>
      <c r="B4" s="13" t="str">
        <f>[1]!BexGetCellData("003N8D85VN5Y88UOCOONXLKGG","003N8D85VN5Y88UOCOONXAUVK","DP_3")</f>
        <v>#NV</v>
      </c>
      <c r="C4" s="6" t="str">
        <f>[1]!BexGetCellData("003N8D85VN5Y88UOCOONXLQS0","003N8D85VN5Y88UOCOONXAUVK","DP_3")</f>
        <v>#NV</v>
      </c>
    </row>
    <row r="5" spans="1:3" x14ac:dyDescent="0.2">
      <c r="A5" s="10" t="str">
        <f>[1]!BexGetCellData("","003N8D85VN5Y88UOCOONXBDU8","DP_3")</f>
        <v xml:space="preserve">    Documentos por Pagar a Corto Plazo</v>
      </c>
      <c r="B5" s="13" t="str">
        <f>[1]!BexGetCellData("003N8D85VN5Y88UOCOONXLKGG","003N8D85VN5Y88UOCOONXBDU8","DP_3")</f>
        <v>#NV</v>
      </c>
      <c r="C5" s="6" t="str">
        <f>[1]!BexGetCellData("003N8D85VN5Y88UOCOONXLQS0","003N8D85VN5Y88UOCOONXBDU8","DP_3")</f>
        <v>#NV</v>
      </c>
    </row>
    <row r="6" spans="1:3" x14ac:dyDescent="0.2">
      <c r="A6" s="10" t="str">
        <f>[1]!BexGetCellData("","003N8D85VN5Y88UOCOONXBWSW","DP_3")</f>
        <v xml:space="preserve">    Porción a Corto Plazo de la Deuda Pública</v>
      </c>
      <c r="B6" s="13" t="str">
        <f>[1]!BexGetCellData("003N8D85VN5Y88UOCOONXLKGG","003N8D85VN5Y88UOCOONXBWSW","DP_3")</f>
        <v>#NV</v>
      </c>
      <c r="C6" s="6" t="str">
        <f>[1]!BexGetCellData("003N8D85VN5Y88UOCOONXLQS0","003N8D85VN5Y88UOCOONXBWSW","DP_3")</f>
        <v>#NV</v>
      </c>
    </row>
    <row r="7" spans="1:3" x14ac:dyDescent="0.2">
      <c r="A7" s="10" t="str">
        <f>[1]!BexGetCellData("","003N8D85VN5Y88UOCOONXCFRK","DP_3")</f>
        <v xml:space="preserve">    Títulos y Valores a Corto Plazo</v>
      </c>
      <c r="B7" s="14" t="str">
        <f>[1]!BexGetCellData("003N8D85VN5Y88UOCOONXLKGG","003N8D85VN5Y88UOCOONXCFRK","DP_3")</f>
        <v>#NV</v>
      </c>
      <c r="C7" s="8" t="str">
        <f>[1]!BexGetCellData("003N8D85VN5Y88UOCOONXLQS0","003N8D85VN5Y88UOCOONXCFRK","DP_3")</f>
        <v>#NV</v>
      </c>
    </row>
    <row r="8" spans="1:3" x14ac:dyDescent="0.2">
      <c r="A8" s="10" t="str">
        <f>[1]!BexGetCellData("","003N8D85VN5Y88UOCOONXCYQ8","DP_3")</f>
        <v xml:space="preserve">    Pasivos Diferidos a Corto Plazo</v>
      </c>
      <c r="B8" s="14" t="str">
        <f>[1]!BexGetCellData("003N8D85VN5Y88UOCOONXLKGG","003N8D85VN5Y88UOCOONXCYQ8","DP_3")</f>
        <v>#NV</v>
      </c>
      <c r="C8" s="8" t="str">
        <f>[1]!BexGetCellData("003N8D85VN5Y88UOCOONXLQS0","003N8D85VN5Y88UOCOONXCYQ8","DP_3")</f>
        <v>#NV</v>
      </c>
    </row>
    <row r="9" spans="1:3" x14ac:dyDescent="0.2">
      <c r="A9" s="10" t="str">
        <f>[1]!BexGetCellData("","003N8D85VN5Y88UOCOONXDHOW","DP_3")</f>
        <v xml:space="preserve">    Fondos y Bienes de Terceros en Garantía</v>
      </c>
      <c r="B9" s="13" t="str">
        <f>[1]!BexGetCellData("003N8D85VN5Y88UOCOONXLKGG","003N8D85VN5Y88UOCOONXDHOW","DP_3")</f>
        <v>#NV</v>
      </c>
      <c r="C9" s="6" t="str">
        <f>[1]!BexGetCellData("003N8D85VN5Y88UOCOONXLQS0","003N8D85VN5Y88UOCOONXDHOW","DP_3")</f>
        <v>#NV</v>
      </c>
    </row>
    <row r="10" spans="1:3" x14ac:dyDescent="0.2">
      <c r="A10" s="10" t="str">
        <f>[1]!BexGetCellData("","003N8D85VN5Y88UOCOONXE0NK","DP_3")</f>
        <v xml:space="preserve">    Provisiones a Corto Plazo</v>
      </c>
      <c r="B10" s="14" t="str">
        <f>[1]!BexGetCellData("003N8D85VN5Y88UOCOONXLKGG","003N8D85VN5Y88UOCOONXE0NK","DP_3")</f>
        <v>#NV</v>
      </c>
      <c r="C10" s="8" t="str">
        <f>[1]!BexGetCellData("003N8D85VN5Y88UOCOONXLQS0","003N8D85VN5Y88UOCOONXE0NK","DP_3")</f>
        <v>#NV</v>
      </c>
    </row>
    <row r="11" spans="1:3" x14ac:dyDescent="0.2">
      <c r="A11" s="10" t="str">
        <f>[1]!BexGetCellData("","003N8D85VN5Y88UP9X1R0PM45","DP_3")</f>
        <v xml:space="preserve">    Otros Pasivos a Corto Plazo</v>
      </c>
      <c r="B11" s="13" t="str">
        <f>[1]!BexGetCellData("003N8D85VN5Y88UOCOONXLKGG","003N8D85VN5Y88UP9X1R0PM45","DP_3")</f>
        <v>#NV</v>
      </c>
      <c r="C11" s="6" t="str">
        <f>[1]!BexGetCellData("003N8D85VN5Y88UOCOONXLQS0","003N8D85VN5Y88UP9X1R0PM45","DP_3")</f>
        <v>#NV</v>
      </c>
    </row>
    <row r="12" spans="1:3" x14ac:dyDescent="0.2">
      <c r="A12" s="10" t="str">
        <f>[1]!BexGetCellData("","003N8D85VN5Y88UOCOONXEJM8","DP_3")</f>
        <v xml:space="preserve">  Total de Pasivos Circulantes</v>
      </c>
      <c r="B12" s="13" t="str">
        <f>[1]!BexGetCellData("003N8D85VN5Y88UOCOONXLKGG","003N8D85VN5Y88UOCOONXEJM8","DP_3")</f>
        <v>#NV</v>
      </c>
      <c r="C12" s="6" t="str">
        <f>[1]!BexGetCellData("003N8D85VN5Y88UOCOONXLQS0","003N8D85VN5Y88UOCOONXEJM8","DP_3")</f>
        <v>#NV</v>
      </c>
    </row>
    <row r="13" spans="1:3" x14ac:dyDescent="0.2">
      <c r="A13" s="10" t="str">
        <f>[1]!BexGetCellData("","003N8D85VN5Y88UOCOONXF2KW","DP_3")</f>
        <v xml:space="preserve">  Pasivo No Circulante</v>
      </c>
      <c r="B13" s="8" t="str">
        <f>[1]!BexGetCellData("003N8D85VN5Y88UOCOONXLKGG","003N8D85VN5Y88UOCOONXF2KW","DP_3")</f>
        <v>#NV</v>
      </c>
      <c r="C13" s="8" t="str">
        <f>[1]!BexGetCellData("003N8D85VN5Y88UOCOONXLQS0","003N8D85VN5Y88UOCOONXF2KW","DP_3")</f>
        <v>#NV</v>
      </c>
    </row>
    <row r="14" spans="1:3" x14ac:dyDescent="0.2">
      <c r="A14" s="10" t="str">
        <f>[1]!BexGetCellData("","003N8D85VN5Y88UOCOONXFLJK","DP_3")</f>
        <v xml:space="preserve">    Cuentas por Pagar a Largo Plazo</v>
      </c>
      <c r="B14" s="14" t="str">
        <f>[1]!BexGetCellData("003N8D85VN5Y88UOCOONXLKGG","003N8D85VN5Y88UOCOONXFLJK","DP_3")</f>
        <v>#NV</v>
      </c>
      <c r="C14" s="7" t="str">
        <f>[1]!BexGetCellData("003N8D85VN5Y88UOCOONXLQS0","003N8D85VN5Y88UOCOONXFLJK","DP_3")</f>
        <v>#NV</v>
      </c>
    </row>
    <row r="15" spans="1:3" x14ac:dyDescent="0.2">
      <c r="A15" s="10" t="str">
        <f>[1]!BexGetCellData("","003N8D85VN5Y88UOCOONXG4I8","DP_3")</f>
        <v xml:space="preserve">    Documentos por Pagar a Largo Plazo</v>
      </c>
      <c r="B15" s="14" t="str">
        <f>[1]!BexGetCellData("003N8D85VN5Y88UOCOONXLKGG","003N8D85VN5Y88UOCOONXG4I8","DP_3")</f>
        <v>#NV</v>
      </c>
      <c r="C15" s="8" t="str">
        <f>[1]!BexGetCellData("003N8D85VN5Y88UOCOONXLQS0","003N8D85VN5Y88UOCOONXG4I8","DP_3")</f>
        <v>#NV</v>
      </c>
    </row>
    <row r="16" spans="1:3" x14ac:dyDescent="0.2">
      <c r="A16" s="10" t="str">
        <f>[1]!BexGetCellData("","003N8D85VN5Y88UOCOONXGNGW","DP_3")</f>
        <v xml:space="preserve">    Deuda Pública a Largo Plazo</v>
      </c>
      <c r="B16" s="13" t="str">
        <f>[1]!BexGetCellData("003N8D85VN5Y88UOCOONXLKGG","003N8D85VN5Y88UOCOONXGNGW","DP_3")</f>
        <v>#NV</v>
      </c>
      <c r="C16" s="6" t="str">
        <f>[1]!BexGetCellData("003N8D85VN5Y88UOCOONXLQS0","003N8D85VN5Y88UOCOONXGNGW","DP_3")</f>
        <v>#NV</v>
      </c>
    </row>
    <row r="17" spans="1:3" x14ac:dyDescent="0.2">
      <c r="A17" s="10" t="str">
        <f>[1]!BexGetCellData("","003N8D85VN5Y88UOCOONXH6FK","DP_3")</f>
        <v xml:space="preserve">    Pasivos Diferidos a Largo Plazo</v>
      </c>
      <c r="B17" s="14" t="str">
        <f>[1]!BexGetCellData("003N8D85VN5Y88UOCOONXLKGG","003N8D85VN5Y88UOCOONXH6FK","DP_3")</f>
        <v>#NV</v>
      </c>
      <c r="C17" s="8" t="str">
        <f>[1]!BexGetCellData("003N8D85VN5Y88UOCOONXLQS0","003N8D85VN5Y88UOCOONXH6FK","DP_3")</f>
        <v>#NV</v>
      </c>
    </row>
    <row r="18" spans="1:3" x14ac:dyDescent="0.2">
      <c r="A18" s="10" t="str">
        <f>[1]!BexGetCellData("","003N8D85VN5Y88UOCOONXHPE8","DP_3")</f>
        <v xml:space="preserve">    Fondos y Bienes de Terceros en Garantía</v>
      </c>
      <c r="B18" s="14" t="str">
        <f>[1]!BexGetCellData("003N8D85VN5Y88UOCOONXLKGG","003N8D85VN5Y88UOCOONXHPE8","DP_3")</f>
        <v>#NV</v>
      </c>
      <c r="C18" s="8" t="str">
        <f>[1]!BexGetCellData("003N8D85VN5Y88UOCOONXLQS0","003N8D85VN5Y88UOCOONXHPE8","DP_3")</f>
        <v>#NV</v>
      </c>
    </row>
    <row r="19" spans="1:3" x14ac:dyDescent="0.2">
      <c r="A19" s="10" t="str">
        <f>[1]!BexGetCellData("","003N8D85VN5Y88UOCOONXJT8W","DP_3")</f>
        <v xml:space="preserve">    Provisiones a Largo Plazo</v>
      </c>
      <c r="B19" s="14" t="str">
        <f>[1]!BexGetCellData("003N8D85VN5Y88UOCOONXLKGG","003N8D85VN5Y88UOCOONXJT8W","DP_3")</f>
        <v>#NV</v>
      </c>
      <c r="C19" s="8" t="str">
        <f>[1]!BexGetCellData("003N8D85VN5Y88UOCOONXLQS0","003N8D85VN5Y88UOCOONXJT8W","DP_3")</f>
        <v>#NV</v>
      </c>
    </row>
    <row r="20" spans="1:3" x14ac:dyDescent="0.2">
      <c r="A20" s="10" t="str">
        <f>[1]!BexGetCellData("","003N8D85VN5Y88UOCOONXKC7K","DP_3")</f>
        <v xml:space="preserve">  Total de Pasivos No Circulantes</v>
      </c>
      <c r="B20" s="13" t="str">
        <f>[1]!BexGetCellData("003N8D85VN5Y88UOCOONXLKGG","003N8D85VN5Y88UOCOONXKC7K","DP_3")</f>
        <v>#NV</v>
      </c>
      <c r="C20" s="6" t="str">
        <f>[1]!BexGetCellData("003N8D85VN5Y88UOCOONXLQS0","003N8D85VN5Y88UOCOONXKC7K","DP_3")</f>
        <v>#NV</v>
      </c>
    </row>
    <row r="21" spans="1:3" x14ac:dyDescent="0.2">
      <c r="A21" s="10" t="str">
        <f>[1]!BexGetCellData("","003N8D85VN5Y88UOCOONXKV68","DP_3")</f>
        <v>Total de Pasivos</v>
      </c>
      <c r="B21" s="13" t="str">
        <f>[1]!BexGetCellData("003N8D85VN5Y88UOCOONXLKGG","003N8D85VN5Y88UOCOONXKV68","DP_3")</f>
        <v>#NV</v>
      </c>
      <c r="C21" s="6" t="str">
        <f>[1]!BexGetCellData("003N8D85VN5Y88UOCOONXLQS0","003N8D85VN5Y88UOCOONXKV68","DP_3")</f>
        <v>#NV</v>
      </c>
    </row>
    <row r="22" spans="1:3" x14ac:dyDescent="0.2">
      <c r="A22" s="10" t="str">
        <f>[1]!BexGetCellData("","003N8D85VN5Y8HKZ7PKW3YTFW","DP_3")</f>
        <v>Hacienda Pública/Patrimonio</v>
      </c>
      <c r="B22" s="8" t="str">
        <f>[1]!BexGetCellData("003N8D85VN5Y88UOCOONXLKGG","003N8D85VN5Y8HKZ7PKW3YTFW","DP_3")</f>
        <v>#NV</v>
      </c>
      <c r="C22" s="8" t="str">
        <f>[1]!BexGetCellData("003N8D85VN5Y88UOCOONXLQS0","003N8D85VN5Y8HKZ7PKW3YTFW","DP_3")</f>
        <v>#NV</v>
      </c>
    </row>
    <row r="23" spans="1:3" x14ac:dyDescent="0.2">
      <c r="A23" s="10" t="str">
        <f>[1]!BexGetCellData("","003N8D85VN5Y8HKZ876XSEN4C","DP_3")</f>
        <v xml:space="preserve">  Hacienda Pública/Patrimonio Contribuido</v>
      </c>
      <c r="B23" s="13" t="str">
        <f>[1]!BexGetCellData("003N8D85VN5Y88UOCOONXLKGG","003N8D85VN5Y8HKZ876XSEN4C","DP_3")</f>
        <v>#NV</v>
      </c>
      <c r="C23" s="6" t="str">
        <f>[1]!BexGetCellData("003N8D85VN5Y88UOCOONXLQS0","003N8D85VN5Y8HKZ876XSEN4C","DP_3")</f>
        <v>#NV</v>
      </c>
    </row>
    <row r="24" spans="1:3" x14ac:dyDescent="0.2">
      <c r="A24" s="10" t="str">
        <f>[1]!BexGetCellData("","003N8D85VN5Y8HKZ9377ZCGB0","DP_3")</f>
        <v xml:space="preserve">    Aportaciones</v>
      </c>
      <c r="B24" s="13" t="str">
        <f>[1]!BexGetCellData("003N8D85VN5Y88UOCOONXLKGG","003N8D85VN5Y8HKZ9377ZCGB0","DP_3")</f>
        <v>#NV</v>
      </c>
      <c r="C24" s="6" t="str">
        <f>[1]!BexGetCellData("003N8D85VN5Y88UOCOONXLQS0","003N8D85VN5Y8HKZ9377ZCGB0","DP_3")</f>
        <v>#NV</v>
      </c>
    </row>
    <row r="25" spans="1:3" x14ac:dyDescent="0.2">
      <c r="A25" s="10" t="str">
        <f>[1]!BexGetCellData("","003N8D85VN5Y8HKZ9O9BNKOLS","DP_3")</f>
        <v xml:space="preserve">    Donaciones de Capital</v>
      </c>
      <c r="B25" s="14" t="str">
        <f>[1]!BexGetCellData("003N8D85VN5Y88UOCOONXLKGG","003N8D85VN5Y8HKZ9O9BNKOLS","DP_3")</f>
        <v>#NV</v>
      </c>
      <c r="C25" s="8" t="str">
        <f>[1]!BexGetCellData("003N8D85VN5Y88UOCOONXLQS0","003N8D85VN5Y8HKZ9O9BNKOLS","DP_3")</f>
        <v>#NV</v>
      </c>
    </row>
    <row r="26" spans="1:3" x14ac:dyDescent="0.2">
      <c r="A26" s="10" t="str">
        <f>[1]!BexGetCellData("","003N8D85VN5Y8HKZACCYYI3KG","DP_3")</f>
        <v xml:space="preserve">    Actualización de la Hacienda Pública/Pa</v>
      </c>
      <c r="B26" s="13" t="str">
        <f>[1]!BexGetCellData("003N8D85VN5Y88UOCOONXLKGG","003N8D85VN5Y8HKZACCYYI3KG","DP_3")</f>
        <v>#NV</v>
      </c>
      <c r="C26" s="6" t="str">
        <f>[1]!BexGetCellData("003N8D85VN5Y88UOCOONXLQS0","003N8D85VN5Y8HKZACCYYI3KG","DP_3")</f>
        <v>#NV</v>
      </c>
    </row>
    <row r="27" spans="1:3" x14ac:dyDescent="0.2">
      <c r="A27" s="10" t="str">
        <f>[1]!BexGetCellData("","003N8D85VN5Y8HKZAZU4PQ6J5","DP_3")</f>
        <v xml:space="preserve">  Hacienda Pública/Patrimonio Generado</v>
      </c>
      <c r="B27" s="13" t="str">
        <f>[1]!BexGetCellData("003N8D85VN5Y88UOCOONXLKGG","003N8D85VN5Y8HKZAZU4PQ6J5","DP_3")</f>
        <v>#NV</v>
      </c>
      <c r="C27" s="6" t="str">
        <f>[1]!BexGetCellData("003N8D85VN5Y88UOCOONXLQS0","003N8D85VN5Y8HKZAZU4PQ6J5","DP_3")</f>
        <v>#NV</v>
      </c>
    </row>
    <row r="28" spans="1:3" x14ac:dyDescent="0.2">
      <c r="A28" s="10" t="str">
        <f>[1]!BexGetCellData("","003N8D85VN5Y8HKZBM0RZLRBU","DP_3")</f>
        <v xml:space="preserve">    Resultados del Ejercicio (Ahorro/ Desahorro)</v>
      </c>
      <c r="B28" s="13" t="str">
        <f>[1]!BexGetCellData("003N8D85VN5Y88UOCOONXLKGG","003N8D85VN5Y8HKZBM0RZLRBU","DP_3")</f>
        <v>#NV</v>
      </c>
      <c r="C28" s="6" t="str">
        <f>[1]!BexGetCellData("003N8D85VN5Y88UOCOONXLQS0","003N8D85VN5Y8HKZBM0RZLRBU","DP_3")</f>
        <v>#NV</v>
      </c>
    </row>
    <row r="29" spans="1:3" x14ac:dyDescent="0.2">
      <c r="A29" s="10" t="str">
        <f>[1]!BexGetCellData("","003N8D85VN5Y8HKZCA2TBAFMI","DP_3")</f>
        <v xml:space="preserve">    Resultados de Ejercicios Anteriores</v>
      </c>
      <c r="B29" s="13" t="str">
        <f>[1]!BexGetCellData("003N8D85VN5Y88UOCOONXLKGG","003N8D85VN5Y8HKZCA2TBAFMI","DP_3")</f>
        <v>#NV</v>
      </c>
      <c r="C29" s="6" t="str">
        <f>[1]!BexGetCellData("003N8D85VN5Y88UOCOONXLQS0","003N8D85VN5Y8HKZCA2TBAFMI","DP_3")</f>
        <v>#NV</v>
      </c>
    </row>
    <row r="30" spans="1:3" x14ac:dyDescent="0.2">
      <c r="A30" s="10" t="str">
        <f>[1]!BexGetCellData("","003N8D85VN5Y8HKZE3X0X81WE","DP_3")</f>
        <v xml:space="preserve">    Revalúos</v>
      </c>
      <c r="B30" s="14" t="str">
        <f>[1]!BexGetCellData("003N8D85VN5Y88UOCOONXLKGG","003N8D85VN5Y8HKZE3X0X81WE","DP_3")</f>
        <v>#NV</v>
      </c>
      <c r="C30" s="8" t="str">
        <f>[1]!BexGetCellData("003N8D85VN5Y88UOCOONXLQS0","003N8D85VN5Y8HKZE3X0X81WE","DP_3")</f>
        <v>#NV</v>
      </c>
    </row>
    <row r="31" spans="1:3" x14ac:dyDescent="0.2">
      <c r="A31" s="10" t="str">
        <f>[1]!BexGetCellData("","003N8D85VN5Y8HKZF2DGVBXCY","DP_3")</f>
        <v xml:space="preserve">    Reservas</v>
      </c>
      <c r="B31" s="14" t="str">
        <f>[1]!BexGetCellData("003N8D85VN5Y88UOCOONXLKGG","003N8D85VN5Y8HKZF2DGVBXCY","DP_3")</f>
        <v>#NV</v>
      </c>
      <c r="C31" s="8" t="str">
        <f>[1]!BexGetCellData("003N8D85VN5Y88UOCOONXLQS0","003N8D85VN5Y8HKZF2DGVBXCY","DP_3")</f>
        <v>#NV</v>
      </c>
    </row>
    <row r="32" spans="1:3" x14ac:dyDescent="0.2">
      <c r="A32" s="10" t="str">
        <f>[1]!BexGetCellData("","003N8D85VN5Y8HKZFM8BOXL0I","DP_3")</f>
        <v xml:space="preserve">    Rectificaciones de Resultados de Ejercicios Anteriores</v>
      </c>
      <c r="B32" s="13" t="str">
        <f>[1]!BexGetCellData("003N8D85VN5Y88UOCOONXLKGG","003N8D85VN5Y8HKZFM8BOXL0I","DP_3")</f>
        <v>#NV</v>
      </c>
      <c r="C32" s="6" t="str">
        <f>[1]!BexGetCellData("003N8D85VN5Y88UOCOONXLQS0","003N8D85VN5Y8HKZFM8BOXL0I","DP_3")</f>
        <v>#NV</v>
      </c>
    </row>
    <row r="33" spans="1:3" x14ac:dyDescent="0.2">
      <c r="A33" s="10" t="str">
        <f>[1]!BexGetCellData("","003N8D85VN5Y8HKZGAVOBDSIU","DP_3")</f>
        <v xml:space="preserve">  Exceso o Insuficiencia en la Actualización de la Hac</v>
      </c>
      <c r="B33" s="14" t="str">
        <f>[1]!BexGetCellData("003N8D85VN5Y88UOCOONXLKGG","003N8D85VN5Y8HKZGAVOBDSIU","DP_3")</f>
        <v>#NV</v>
      </c>
      <c r="C33" s="8" t="str">
        <f>[1]!BexGetCellData("003N8D85VN5Y88UOCOONXLQS0","003N8D85VN5Y8HKZGAVOBDSIU","DP_3")</f>
        <v>#NV</v>
      </c>
    </row>
    <row r="34" spans="1:3" x14ac:dyDescent="0.2">
      <c r="A34" s="10" t="str">
        <f>[1]!BexGetCellData("","003N8D85VN5Y8HKZH8BV9KUJQ","DP_3")</f>
        <v xml:space="preserve">    Resultado por Tenencia de Activos no Monetarios</v>
      </c>
      <c r="B34" s="14" t="str">
        <f>[1]!BexGetCellData("003N8D85VN5Y88UOCOONXLKGG","003N8D85VN5Y8HKZH8BV9KUJQ","DP_3")</f>
        <v>#NV</v>
      </c>
      <c r="C34" s="8" t="str">
        <f>[1]!BexGetCellData("003N8D85VN5Y88UOCOONXLQS0","003N8D85VN5Y8HKZH8BV9KUJQ","DP_3")</f>
        <v>#NV</v>
      </c>
    </row>
    <row r="35" spans="1:3" x14ac:dyDescent="0.2">
      <c r="A35" s="10" t="str">
        <f>[1]!BexGetCellData("","003N8D85VN5Y8HKZKMXA4Z7HY","DP_3")</f>
        <v xml:space="preserve">    Resultado por Tenencia de Activos no Mo</v>
      </c>
      <c r="B35" s="14" t="str">
        <f>[1]!BexGetCellData("003N8D85VN5Y88UOCOONXLKGG","003N8D85VN5Y8HKZKMXA4Z7HY","DP_3")</f>
        <v>#NV</v>
      </c>
      <c r="C35" s="8" t="str">
        <f>[1]!BexGetCellData("003N8D85VN5Y88UOCOONXLQS0","003N8D85VN5Y8HKZKMXA4Z7HY","DP_3")</f>
        <v>#NV</v>
      </c>
    </row>
    <row r="36" spans="1:3" x14ac:dyDescent="0.2">
      <c r="A36" s="10" t="str">
        <f>[1]!BexGetCellData("","003N8D85VN5Y8HKZLONALDCC9","DP_3")</f>
        <v>Total Hacienda Pública/Patrimonio</v>
      </c>
      <c r="B36" s="13" t="str">
        <f>[1]!BexGetCellData("003N8D85VN5Y88UOCOONXLKGG","003N8D85VN5Y8HKZLONALDCC9","DP_3")</f>
        <v>#NV</v>
      </c>
      <c r="C36" s="6" t="str">
        <f>[1]!BexGetCellData("003N8D85VN5Y88UOCOONXLQS0","003N8D85VN5Y8HKZLONALDCC9","DP_3")</f>
        <v>#NV</v>
      </c>
    </row>
    <row r="37" spans="1:3" x14ac:dyDescent="0.2">
      <c r="A37" s="10" t="str">
        <f>[1]!BexGetCellData("","003N8D85VN5Y8HKZMBIWNVJQX","DP_3")</f>
        <v>Total del Pasivo y Hacienda Pública/Patrimonio</v>
      </c>
      <c r="B37" s="13" t="str">
        <f>[1]!BexGetCellData("003N8D85VN5Y88UOCOONXLKGG","003N8D85VN5Y8HKZMBIWNVJQX","DP_3")</f>
        <v>#NV</v>
      </c>
      <c r="C37" s="6" t="str">
        <f>[1]!BexGetCellData("003N8D85VN5Y88UOCOONXLQS0","003N8D85VN5Y8HKZMBIWNVJQX","DP_3")</f>
        <v>#NV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AC845F-38C8-43DA-9A8D-21505CF90F97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María de Jesús Rios Angulo</cp:lastModifiedBy>
  <cp:lastPrinted>2023-11-08T01:07:26Z</cp:lastPrinted>
  <dcterms:created xsi:type="dcterms:W3CDTF">2017-06-21T15:05:23Z</dcterms:created>
  <dcterms:modified xsi:type="dcterms:W3CDTF">2023-11-08T01:07:32Z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I.1 ESF_EP.xlsx</vt:lpwstr>
  </property>
</Properties>
</file>